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3080" yWindow="-60" windowWidth="10470" windowHeight="9465" tabRatio="619"/>
  </bookViews>
  <sheets>
    <sheet name="Dashboard" sheetId="2" r:id="rId1"/>
    <sheet name="Weight Record" sheetId="19" r:id="rId2"/>
    <sheet name="Measurements Record" sheetId="24" r:id="rId3"/>
    <sheet name="BMI Info" sheetId="9" r:id="rId4"/>
  </sheets>
  <definedNames>
    <definedName name="MonthlyAverage">Dashboard!$K$16</definedName>
    <definedName name="WeeklyAverage">Dashboard!$K$15</definedName>
  </definedNames>
  <calcPr calcId="145621"/>
</workbook>
</file>

<file path=xl/calcChain.xml><?xml version="1.0" encoding="utf-8"?>
<calcChain xmlns="http://schemas.openxmlformats.org/spreadsheetml/2006/main">
  <c r="D100" i="19" l="1"/>
  <c r="D99" i="19"/>
  <c r="D98" i="19"/>
  <c r="D97" i="19"/>
  <c r="N97" i="19" s="1"/>
  <c r="D96" i="19"/>
  <c r="N96" i="19" s="1"/>
  <c r="D95" i="19"/>
  <c r="E94" i="19"/>
  <c r="D94" i="19"/>
  <c r="D93" i="19"/>
  <c r="N93" i="19" s="1"/>
  <c r="Y92" i="19"/>
  <c r="Z92" i="19" s="1"/>
  <c r="E92" i="19"/>
  <c r="D92" i="19"/>
  <c r="N91" i="19"/>
  <c r="D91" i="19"/>
  <c r="D90" i="19"/>
  <c r="D89" i="19"/>
  <c r="N89" i="19" s="1"/>
  <c r="D88" i="19"/>
  <c r="D87" i="19"/>
  <c r="N87" i="19" s="1"/>
  <c r="D86" i="19"/>
  <c r="Y86" i="19" s="1"/>
  <c r="Z86" i="19" s="1"/>
  <c r="D85" i="19"/>
  <c r="N85" i="19" s="1"/>
  <c r="D84" i="19"/>
  <c r="N84" i="19" s="1"/>
  <c r="D83" i="19"/>
  <c r="D82" i="19"/>
  <c r="D81" i="19"/>
  <c r="Y81" i="19" s="1"/>
  <c r="Z81" i="19" s="1"/>
  <c r="D80" i="19"/>
  <c r="N80" i="19" s="1"/>
  <c r="D79" i="19"/>
  <c r="D78" i="19"/>
  <c r="D77" i="19"/>
  <c r="Y77" i="19" s="1"/>
  <c r="Z77" i="19" s="1"/>
  <c r="D76" i="19"/>
  <c r="D75" i="19"/>
  <c r="D74" i="19"/>
  <c r="Y74" i="19" s="1"/>
  <c r="Z74" i="19" s="1"/>
  <c r="D73" i="19"/>
  <c r="N73" i="19" s="1"/>
  <c r="D72" i="19"/>
  <c r="D71" i="19"/>
  <c r="D70" i="19"/>
  <c r="Y70" i="19" s="1"/>
  <c r="Z70" i="19" s="1"/>
  <c r="D69" i="19"/>
  <c r="N69" i="19" s="1"/>
  <c r="D68" i="19"/>
  <c r="Y68" i="19" s="1"/>
  <c r="Z68" i="19" s="1"/>
  <c r="N67" i="19"/>
  <c r="D67" i="19"/>
  <c r="D66" i="19"/>
  <c r="Y66" i="19" s="1"/>
  <c r="Z66" i="19" s="1"/>
  <c r="D65" i="19"/>
  <c r="N65" i="19" s="1"/>
  <c r="D64" i="19"/>
  <c r="D63" i="19"/>
  <c r="N63" i="19" s="1"/>
  <c r="D62" i="19"/>
  <c r="D61" i="19"/>
  <c r="N61" i="19" s="1"/>
  <c r="D60" i="19"/>
  <c r="S60" i="19" s="1"/>
  <c r="T60" i="19" s="1"/>
  <c r="D59" i="19"/>
  <c r="D58" i="19"/>
  <c r="D57" i="19"/>
  <c r="D56" i="19"/>
  <c r="L56" i="19" s="1"/>
  <c r="D55" i="19"/>
  <c r="N55" i="19" s="1"/>
  <c r="D54" i="19"/>
  <c r="N54" i="19" s="1"/>
  <c r="D53" i="19"/>
  <c r="D52" i="19"/>
  <c r="L52" i="19" s="1"/>
  <c r="D51" i="19"/>
  <c r="N51" i="19" s="1"/>
  <c r="D50" i="19"/>
  <c r="D49" i="19"/>
  <c r="D48" i="19"/>
  <c r="D47" i="19"/>
  <c r="L47" i="19" s="1"/>
  <c r="D46" i="19"/>
  <c r="Y46" i="19" s="1"/>
  <c r="Z46" i="19" s="1"/>
  <c r="D45" i="19"/>
  <c r="D44" i="19"/>
  <c r="D43" i="19"/>
  <c r="L43" i="19" s="1"/>
  <c r="N42" i="19"/>
  <c r="D42" i="19"/>
  <c r="Y42" i="19" s="1"/>
  <c r="Z42" i="19" s="1"/>
  <c r="D41" i="19"/>
  <c r="D40" i="19"/>
  <c r="M40" i="19" s="1"/>
  <c r="AA40" i="19" s="1"/>
  <c r="D39" i="19"/>
  <c r="L39" i="19" s="1"/>
  <c r="D38" i="19"/>
  <c r="D37" i="19"/>
  <c r="M37" i="19" s="1"/>
  <c r="AA37" i="19" s="1"/>
  <c r="D36" i="19"/>
  <c r="Y36" i="19" s="1"/>
  <c r="Z36" i="19" s="1"/>
  <c r="D35" i="19"/>
  <c r="D34" i="19"/>
  <c r="D33" i="19"/>
  <c r="D32" i="19"/>
  <c r="D31" i="19"/>
  <c r="D30" i="19"/>
  <c r="Y29" i="19"/>
  <c r="Z29" i="19" s="1"/>
  <c r="D29" i="19"/>
  <c r="M29" i="19" s="1"/>
  <c r="AA29" i="19" s="1"/>
  <c r="D28" i="19"/>
  <c r="N28" i="19" s="1"/>
  <c r="D27" i="19"/>
  <c r="L27" i="19" s="1"/>
  <c r="N46" i="19" l="1"/>
  <c r="Y32" i="19"/>
  <c r="Z32" i="19" s="1"/>
  <c r="Y33" i="19"/>
  <c r="Z33" i="19" s="1"/>
  <c r="E100" i="19"/>
  <c r="E98" i="19"/>
  <c r="S98" i="19"/>
  <c r="T98" i="19" s="1"/>
  <c r="O98" i="19"/>
  <c r="P98" i="19" s="1"/>
  <c r="E96" i="19"/>
  <c r="S96" i="19"/>
  <c r="T96" i="19" s="1"/>
  <c r="O96" i="19"/>
  <c r="P96" i="19" s="1"/>
  <c r="Y96" i="19"/>
  <c r="Z96" i="19" s="1"/>
  <c r="O94" i="19"/>
  <c r="P94" i="19" s="1"/>
  <c r="Y98" i="19"/>
  <c r="Z98" i="19" s="1"/>
  <c r="L99" i="19"/>
  <c r="M98" i="19"/>
  <c r="AA98" i="19" s="1"/>
  <c r="L98" i="19"/>
  <c r="M96" i="19"/>
  <c r="AA96" i="19" s="1"/>
  <c r="Y94" i="19"/>
  <c r="Z94" i="19" s="1"/>
  <c r="S94" i="19"/>
  <c r="T94" i="19" s="1"/>
  <c r="L95" i="19"/>
  <c r="M94" i="19"/>
  <c r="AA94" i="19" s="1"/>
  <c r="L94" i="19"/>
  <c r="A93" i="19"/>
  <c r="A94" i="19" s="1"/>
  <c r="A95" i="19" s="1"/>
  <c r="A96" i="19" s="1"/>
  <c r="A97" i="19" s="1"/>
  <c r="A98" i="19" s="1"/>
  <c r="A99" i="19" s="1"/>
  <c r="A100" i="19" s="1"/>
  <c r="O93" i="19"/>
  <c r="P93" i="19" s="1"/>
  <c r="S93" i="19"/>
  <c r="T93" i="19" s="1"/>
  <c r="N94" i="19"/>
  <c r="E95" i="19"/>
  <c r="M95" i="19"/>
  <c r="AA95" i="19" s="1"/>
  <c r="Y95" i="19"/>
  <c r="Z95" i="19" s="1"/>
  <c r="L96" i="19"/>
  <c r="O97" i="19"/>
  <c r="P97" i="19" s="1"/>
  <c r="S97" i="19"/>
  <c r="T97" i="19" s="1"/>
  <c r="N98" i="19"/>
  <c r="E99" i="19"/>
  <c r="M99" i="19"/>
  <c r="AA99" i="19" s="1"/>
  <c r="Y99" i="19"/>
  <c r="Z99" i="19" s="1"/>
  <c r="L100" i="19"/>
  <c r="L93" i="19"/>
  <c r="N95" i="19"/>
  <c r="L97" i="19"/>
  <c r="N99" i="19"/>
  <c r="M100" i="19"/>
  <c r="AA100" i="19" s="1"/>
  <c r="Y100" i="19"/>
  <c r="Z100" i="19" s="1"/>
  <c r="E93" i="19"/>
  <c r="M93" i="19"/>
  <c r="AA93" i="19" s="1"/>
  <c r="Y93" i="19"/>
  <c r="Z93" i="19" s="1"/>
  <c r="O95" i="19"/>
  <c r="P95" i="19" s="1"/>
  <c r="S95" i="19"/>
  <c r="T95" i="19" s="1"/>
  <c r="E97" i="19"/>
  <c r="M97" i="19"/>
  <c r="AA97" i="19" s="1"/>
  <c r="Y97" i="19"/>
  <c r="Z97" i="19" s="1"/>
  <c r="O99" i="19"/>
  <c r="P99" i="19" s="1"/>
  <c r="S99" i="19"/>
  <c r="T99" i="19" s="1"/>
  <c r="N100" i="19"/>
  <c r="O100" i="19"/>
  <c r="P100" i="19" s="1"/>
  <c r="S100" i="19"/>
  <c r="T100" i="19" s="1"/>
  <c r="N92" i="19"/>
  <c r="E90" i="19"/>
  <c r="S90" i="19"/>
  <c r="T90" i="19" s="1"/>
  <c r="O90" i="19"/>
  <c r="P90" i="19" s="1"/>
  <c r="Y90" i="19"/>
  <c r="Z90" i="19" s="1"/>
  <c r="M92" i="19"/>
  <c r="AA92" i="19" s="1"/>
  <c r="S92" i="19"/>
  <c r="T92" i="19" s="1"/>
  <c r="O92" i="19"/>
  <c r="P92" i="19" s="1"/>
  <c r="L92" i="19"/>
  <c r="M90" i="19"/>
  <c r="AA90" i="19" s="1"/>
  <c r="L91" i="19"/>
  <c r="L90" i="19"/>
  <c r="Y88" i="19"/>
  <c r="Z88" i="19" s="1"/>
  <c r="M88" i="19"/>
  <c r="AA88" i="19" s="1"/>
  <c r="S88" i="19"/>
  <c r="T88" i="19" s="1"/>
  <c r="E88" i="19"/>
  <c r="N88" i="19"/>
  <c r="O88" i="19"/>
  <c r="P88" i="19" s="1"/>
  <c r="L88" i="19"/>
  <c r="S86" i="19"/>
  <c r="T86" i="19" s="1"/>
  <c r="M86" i="19"/>
  <c r="AA86" i="19" s="1"/>
  <c r="L87" i="19"/>
  <c r="E86" i="19"/>
  <c r="O86" i="19"/>
  <c r="P86" i="19" s="1"/>
  <c r="L86" i="19"/>
  <c r="A85" i="19"/>
  <c r="A86" i="19" s="1"/>
  <c r="A87" i="19" s="1"/>
  <c r="A88" i="19" s="1"/>
  <c r="A89" i="19" s="1"/>
  <c r="A90" i="19" s="1"/>
  <c r="A91" i="19" s="1"/>
  <c r="A92" i="19" s="1"/>
  <c r="O85" i="19"/>
  <c r="P85" i="19" s="1"/>
  <c r="S85" i="19"/>
  <c r="T85" i="19" s="1"/>
  <c r="N86" i="19"/>
  <c r="E87" i="19"/>
  <c r="M87" i="19"/>
  <c r="AA87" i="19" s="1"/>
  <c r="Y87" i="19"/>
  <c r="Z87" i="19" s="1"/>
  <c r="O89" i="19"/>
  <c r="P89" i="19" s="1"/>
  <c r="S89" i="19"/>
  <c r="T89" i="19" s="1"/>
  <c r="N90" i="19"/>
  <c r="E91" i="19"/>
  <c r="M91" i="19"/>
  <c r="AA91" i="19" s="1"/>
  <c r="Y91" i="19"/>
  <c r="Z91" i="19" s="1"/>
  <c r="L89" i="19"/>
  <c r="L85" i="19"/>
  <c r="E85" i="19"/>
  <c r="M85" i="19"/>
  <c r="AA85" i="19" s="1"/>
  <c r="Y85" i="19"/>
  <c r="Z85" i="19" s="1"/>
  <c r="O87" i="19"/>
  <c r="P87" i="19" s="1"/>
  <c r="S87" i="19"/>
  <c r="T87" i="19" s="1"/>
  <c r="E89" i="19"/>
  <c r="M89" i="19"/>
  <c r="AA89" i="19" s="1"/>
  <c r="Y89" i="19"/>
  <c r="Z89" i="19" s="1"/>
  <c r="O91" i="19"/>
  <c r="P91" i="19" s="1"/>
  <c r="S91" i="19"/>
  <c r="T91" i="19" s="1"/>
  <c r="E84" i="19"/>
  <c r="S84" i="19"/>
  <c r="T84" i="19" s="1"/>
  <c r="Y78" i="19"/>
  <c r="Z78" i="19" s="1"/>
  <c r="O84" i="19"/>
  <c r="P84" i="19" s="1"/>
  <c r="E82" i="19"/>
  <c r="O82" i="19"/>
  <c r="P82" i="19" s="1"/>
  <c r="Y82" i="19"/>
  <c r="Z82" i="19" s="1"/>
  <c r="S82" i="19"/>
  <c r="T82" i="19" s="1"/>
  <c r="L83" i="19"/>
  <c r="M82" i="19"/>
  <c r="AA82" i="19" s="1"/>
  <c r="L82" i="19"/>
  <c r="N81" i="19"/>
  <c r="M80" i="19"/>
  <c r="AA80" i="19" s="1"/>
  <c r="E80" i="19"/>
  <c r="O80" i="19"/>
  <c r="P80" i="19" s="1"/>
  <c r="Y80" i="19"/>
  <c r="Z80" i="19" s="1"/>
  <c r="S80" i="19"/>
  <c r="T80" i="19" s="1"/>
  <c r="S78" i="19"/>
  <c r="T78" i="19" s="1"/>
  <c r="M78" i="19"/>
  <c r="AA78" i="19" s="1"/>
  <c r="E78" i="19"/>
  <c r="O78" i="19"/>
  <c r="P78" i="19" s="1"/>
  <c r="N77" i="19"/>
  <c r="L78" i="19"/>
  <c r="A77" i="19"/>
  <c r="A78" i="19" s="1"/>
  <c r="A79" i="19" s="1"/>
  <c r="A80" i="19" s="1"/>
  <c r="A81" i="19" s="1"/>
  <c r="A82" i="19" s="1"/>
  <c r="A83" i="19" s="1"/>
  <c r="A84" i="19" s="1"/>
  <c r="O77" i="19"/>
  <c r="P77" i="19" s="1"/>
  <c r="S77" i="19"/>
  <c r="T77" i="19" s="1"/>
  <c r="N78" i="19"/>
  <c r="E79" i="19"/>
  <c r="M79" i="19"/>
  <c r="AA79" i="19" s="1"/>
  <c r="Y79" i="19"/>
  <c r="Z79" i="19" s="1"/>
  <c r="L80" i="19"/>
  <c r="O81" i="19"/>
  <c r="P81" i="19" s="1"/>
  <c r="S81" i="19"/>
  <c r="T81" i="19" s="1"/>
  <c r="N82" i="19"/>
  <c r="E83" i="19"/>
  <c r="M83" i="19"/>
  <c r="AA83" i="19" s="1"/>
  <c r="Y83" i="19"/>
  <c r="Z83" i="19" s="1"/>
  <c r="L84" i="19"/>
  <c r="L79" i="19"/>
  <c r="L77" i="19"/>
  <c r="N79" i="19"/>
  <c r="L81" i="19"/>
  <c r="N83" i="19"/>
  <c r="M84" i="19"/>
  <c r="AA84" i="19" s="1"/>
  <c r="Y84" i="19"/>
  <c r="Z84" i="19" s="1"/>
  <c r="E77" i="19"/>
  <c r="M77" i="19"/>
  <c r="AA77" i="19" s="1"/>
  <c r="O79" i="19"/>
  <c r="P79" i="19" s="1"/>
  <c r="S79" i="19"/>
  <c r="T79" i="19" s="1"/>
  <c r="E81" i="19"/>
  <c r="M81" i="19"/>
  <c r="AA81" i="19" s="1"/>
  <c r="O83" i="19"/>
  <c r="P83" i="19" s="1"/>
  <c r="S83" i="19"/>
  <c r="T83" i="19" s="1"/>
  <c r="Y75" i="19"/>
  <c r="Z75" i="19" s="1"/>
  <c r="M75" i="19"/>
  <c r="AA75" i="19" s="1"/>
  <c r="E75" i="19"/>
  <c r="N74" i="19"/>
  <c r="L75" i="19"/>
  <c r="Y73" i="19"/>
  <c r="Z73" i="19" s="1"/>
  <c r="S73" i="19"/>
  <c r="T73" i="19" s="1"/>
  <c r="M73" i="19"/>
  <c r="AA73" i="19" s="1"/>
  <c r="E73" i="19"/>
  <c r="O73" i="19"/>
  <c r="P73" i="19" s="1"/>
  <c r="E71" i="19"/>
  <c r="O71" i="19"/>
  <c r="P71" i="19" s="1"/>
  <c r="Y71" i="19"/>
  <c r="Z71" i="19" s="1"/>
  <c r="S71" i="19"/>
  <c r="T71" i="19" s="1"/>
  <c r="M71" i="19"/>
  <c r="AA71" i="19" s="1"/>
  <c r="L71" i="19"/>
  <c r="N70" i="19"/>
  <c r="E69" i="19"/>
  <c r="O69" i="19"/>
  <c r="P69" i="19" s="1"/>
  <c r="Y69" i="19"/>
  <c r="Z69" i="19" s="1"/>
  <c r="A69" i="19"/>
  <c r="A70" i="19" s="1"/>
  <c r="A71" i="19" s="1"/>
  <c r="A72" i="19" s="1"/>
  <c r="A73" i="19" s="1"/>
  <c r="A74" i="19" s="1"/>
  <c r="A75" i="19" s="1"/>
  <c r="A76" i="19" s="1"/>
  <c r="S69" i="19"/>
  <c r="T69" i="19" s="1"/>
  <c r="M69" i="19"/>
  <c r="AA69" i="19" s="1"/>
  <c r="L72" i="19"/>
  <c r="L76" i="19"/>
  <c r="L69" i="19"/>
  <c r="O70" i="19"/>
  <c r="P70" i="19" s="1"/>
  <c r="S70" i="19"/>
  <c r="T70" i="19" s="1"/>
  <c r="N71" i="19"/>
  <c r="E72" i="19"/>
  <c r="M72" i="19"/>
  <c r="AA72" i="19" s="1"/>
  <c r="Y72" i="19"/>
  <c r="Z72" i="19" s="1"/>
  <c r="L73" i="19"/>
  <c r="O74" i="19"/>
  <c r="P74" i="19" s="1"/>
  <c r="S74" i="19"/>
  <c r="T74" i="19" s="1"/>
  <c r="N75" i="19"/>
  <c r="E76" i="19"/>
  <c r="M76" i="19"/>
  <c r="AA76" i="19" s="1"/>
  <c r="Y76" i="19"/>
  <c r="Z76" i="19" s="1"/>
  <c r="L70" i="19"/>
  <c r="N72" i="19"/>
  <c r="L74" i="19"/>
  <c r="O75" i="19"/>
  <c r="P75" i="19" s="1"/>
  <c r="S75" i="19"/>
  <c r="T75" i="19" s="1"/>
  <c r="N76" i="19"/>
  <c r="E70" i="19"/>
  <c r="M70" i="19"/>
  <c r="AA70" i="19" s="1"/>
  <c r="O72" i="19"/>
  <c r="P72" i="19" s="1"/>
  <c r="S72" i="19"/>
  <c r="T72" i="19" s="1"/>
  <c r="E74" i="19"/>
  <c r="M74" i="19"/>
  <c r="AA74" i="19" s="1"/>
  <c r="O76" i="19"/>
  <c r="P76" i="19" s="1"/>
  <c r="S76" i="19"/>
  <c r="T76" i="19" s="1"/>
  <c r="E64" i="19"/>
  <c r="N64" i="19"/>
  <c r="N60" i="19"/>
  <c r="E60" i="19"/>
  <c r="M68" i="19"/>
  <c r="AA68" i="19" s="1"/>
  <c r="S68" i="19"/>
  <c r="T68" i="19" s="1"/>
  <c r="E68" i="19"/>
  <c r="N68" i="19"/>
  <c r="O68" i="19"/>
  <c r="P68" i="19" s="1"/>
  <c r="L68" i="19"/>
  <c r="S66" i="19"/>
  <c r="T66" i="19" s="1"/>
  <c r="L67" i="19"/>
  <c r="M66" i="19"/>
  <c r="AA66" i="19" s="1"/>
  <c r="E66" i="19"/>
  <c r="O66" i="19"/>
  <c r="P66" i="19" s="1"/>
  <c r="O64" i="19"/>
  <c r="P64" i="19" s="1"/>
  <c r="Y64" i="19"/>
  <c r="Z64" i="19" s="1"/>
  <c r="M64" i="19"/>
  <c r="AA64" i="19" s="1"/>
  <c r="S64" i="19"/>
  <c r="T64" i="19" s="1"/>
  <c r="L64" i="19"/>
  <c r="M62" i="19"/>
  <c r="AA62" i="19" s="1"/>
  <c r="E62" i="19"/>
  <c r="O62" i="19"/>
  <c r="P62" i="19" s="1"/>
  <c r="Y62" i="19"/>
  <c r="Z62" i="19" s="1"/>
  <c r="S62" i="19"/>
  <c r="T62" i="19" s="1"/>
  <c r="L63" i="19"/>
  <c r="L62" i="19"/>
  <c r="O60" i="19"/>
  <c r="P60" i="19" s="1"/>
  <c r="Y60" i="19"/>
  <c r="Z60" i="19" s="1"/>
  <c r="M60" i="19"/>
  <c r="AA60" i="19" s="1"/>
  <c r="L60" i="19"/>
  <c r="N59" i="19"/>
  <c r="L59" i="19"/>
  <c r="E59" i="19"/>
  <c r="M59" i="19"/>
  <c r="AA59" i="19" s="1"/>
  <c r="Y59" i="19"/>
  <c r="Z59" i="19" s="1"/>
  <c r="O61" i="19"/>
  <c r="P61" i="19" s="1"/>
  <c r="S61" i="19"/>
  <c r="T61" i="19" s="1"/>
  <c r="N62" i="19"/>
  <c r="E63" i="19"/>
  <c r="M63" i="19"/>
  <c r="AA63" i="19" s="1"/>
  <c r="Y63" i="19"/>
  <c r="Z63" i="19" s="1"/>
  <c r="O65" i="19"/>
  <c r="P65" i="19" s="1"/>
  <c r="S65" i="19"/>
  <c r="T65" i="19" s="1"/>
  <c r="N66" i="19"/>
  <c r="E67" i="19"/>
  <c r="M67" i="19"/>
  <c r="AA67" i="19" s="1"/>
  <c r="Y67" i="19"/>
  <c r="Z67" i="19" s="1"/>
  <c r="L61" i="19"/>
  <c r="L65" i="19"/>
  <c r="A59" i="19"/>
  <c r="A60" i="19" s="1"/>
  <c r="A61" i="19" s="1"/>
  <c r="A62" i="19" s="1"/>
  <c r="A63" i="19" s="1"/>
  <c r="A64" i="19" s="1"/>
  <c r="A65" i="19" s="1"/>
  <c r="A66" i="19" s="1"/>
  <c r="A67" i="19" s="1"/>
  <c r="A68" i="19" s="1"/>
  <c r="O59" i="19"/>
  <c r="P59" i="19" s="1"/>
  <c r="S59" i="19"/>
  <c r="T59" i="19" s="1"/>
  <c r="E61" i="19"/>
  <c r="M61" i="19"/>
  <c r="AA61" i="19" s="1"/>
  <c r="Y61" i="19"/>
  <c r="Z61" i="19" s="1"/>
  <c r="O63" i="19"/>
  <c r="P63" i="19" s="1"/>
  <c r="S63" i="19"/>
  <c r="T63" i="19" s="1"/>
  <c r="E65" i="19"/>
  <c r="M65" i="19"/>
  <c r="AA65" i="19" s="1"/>
  <c r="Y65" i="19"/>
  <c r="Z65" i="19" s="1"/>
  <c r="L66" i="19"/>
  <c r="O67" i="19"/>
  <c r="P67" i="19" s="1"/>
  <c r="S67" i="19"/>
  <c r="T67" i="19" s="1"/>
  <c r="S54" i="19"/>
  <c r="T54" i="19" s="1"/>
  <c r="Y54" i="19"/>
  <c r="Z54" i="19" s="1"/>
  <c r="M58" i="19"/>
  <c r="AA58" i="19" s="1"/>
  <c r="E58" i="19"/>
  <c r="M56" i="19"/>
  <c r="AA56" i="19" s="1"/>
  <c r="E56" i="19"/>
  <c r="O56" i="19"/>
  <c r="P56" i="19" s="1"/>
  <c r="Y56" i="19"/>
  <c r="Z56" i="19" s="1"/>
  <c r="S56" i="19"/>
  <c r="T56" i="19" s="1"/>
  <c r="L57" i="19"/>
  <c r="M54" i="19"/>
  <c r="AA54" i="19" s="1"/>
  <c r="E54" i="19"/>
  <c r="O54" i="19"/>
  <c r="P54" i="19" s="1"/>
  <c r="E52" i="19"/>
  <c r="O52" i="19"/>
  <c r="P52" i="19" s="1"/>
  <c r="Y52" i="19"/>
  <c r="Z52" i="19" s="1"/>
  <c r="S52" i="19"/>
  <c r="T52" i="19" s="1"/>
  <c r="M52" i="19"/>
  <c r="AA52" i="19" s="1"/>
  <c r="L53" i="19"/>
  <c r="A51" i="19"/>
  <c r="A52" i="19" s="1"/>
  <c r="O51" i="19"/>
  <c r="P51" i="19" s="1"/>
  <c r="S51" i="19"/>
  <c r="T51" i="19" s="1"/>
  <c r="N52" i="19"/>
  <c r="E53" i="19"/>
  <c r="M53" i="19"/>
  <c r="AA53" i="19" s="1"/>
  <c r="Y53" i="19"/>
  <c r="Z53" i="19" s="1"/>
  <c r="L54" i="19"/>
  <c r="O55" i="19"/>
  <c r="P55" i="19" s="1"/>
  <c r="S55" i="19"/>
  <c r="T55" i="19" s="1"/>
  <c r="N56" i="19"/>
  <c r="E57" i="19"/>
  <c r="M57" i="19"/>
  <c r="AA57" i="19" s="1"/>
  <c r="Y57" i="19"/>
  <c r="Z57" i="19" s="1"/>
  <c r="L58" i="19"/>
  <c r="N53" i="19"/>
  <c r="L55" i="19"/>
  <c r="N57" i="19"/>
  <c r="Y58" i="19"/>
  <c r="Z58" i="19" s="1"/>
  <c r="L51" i="19"/>
  <c r="E51" i="19"/>
  <c r="M51" i="19"/>
  <c r="AA51" i="19" s="1"/>
  <c r="Y51" i="19"/>
  <c r="Z51" i="19" s="1"/>
  <c r="A53" i="19"/>
  <c r="A54" i="19" s="1"/>
  <c r="A55" i="19" s="1"/>
  <c r="A56" i="19" s="1"/>
  <c r="A57" i="19" s="1"/>
  <c r="A58" i="19" s="1"/>
  <c r="O53" i="19"/>
  <c r="P53" i="19" s="1"/>
  <c r="S53" i="19"/>
  <c r="T53" i="19" s="1"/>
  <c r="E55" i="19"/>
  <c r="M55" i="19"/>
  <c r="AA55" i="19" s="1"/>
  <c r="Y55" i="19"/>
  <c r="Z55" i="19" s="1"/>
  <c r="O57" i="19"/>
  <c r="P57" i="19" s="1"/>
  <c r="S57" i="19"/>
  <c r="T57" i="19" s="1"/>
  <c r="N58" i="19"/>
  <c r="O58" i="19"/>
  <c r="P58" i="19" s="1"/>
  <c r="S58" i="19"/>
  <c r="T58" i="19" s="1"/>
  <c r="L48" i="19"/>
  <c r="O47" i="19"/>
  <c r="P47" i="19" s="1"/>
  <c r="S46" i="19"/>
  <c r="T46" i="19" s="1"/>
  <c r="E40" i="19"/>
  <c r="Y40" i="19"/>
  <c r="Z40" i="19" s="1"/>
  <c r="M48" i="19"/>
  <c r="AA48" i="19" s="1"/>
  <c r="E48" i="19"/>
  <c r="Y48" i="19"/>
  <c r="Z48" i="19" s="1"/>
  <c r="L49" i="19"/>
  <c r="M47" i="19"/>
  <c r="AA47" i="19" s="1"/>
  <c r="E47" i="19"/>
  <c r="N47" i="19"/>
  <c r="S47" i="19"/>
  <c r="T47" i="19" s="1"/>
  <c r="Y47" i="19"/>
  <c r="Z47" i="19" s="1"/>
  <c r="O46" i="19"/>
  <c r="P46" i="19" s="1"/>
  <c r="Y44" i="19"/>
  <c r="Z44" i="19" s="1"/>
  <c r="M44" i="19"/>
  <c r="AA44" i="19" s="1"/>
  <c r="E44" i="19"/>
  <c r="M43" i="19"/>
  <c r="AA43" i="19" s="1"/>
  <c r="E43" i="19"/>
  <c r="Y43" i="19"/>
  <c r="Z43" i="19" s="1"/>
  <c r="O43" i="19"/>
  <c r="P43" i="19" s="1"/>
  <c r="N43" i="19"/>
  <c r="S43" i="19"/>
  <c r="T43" i="19" s="1"/>
  <c r="L44" i="19"/>
  <c r="O42" i="19"/>
  <c r="P42" i="19" s="1"/>
  <c r="S42" i="19"/>
  <c r="T42" i="19" s="1"/>
  <c r="M39" i="19"/>
  <c r="AA39" i="19" s="1"/>
  <c r="E39" i="19"/>
  <c r="N39" i="19"/>
  <c r="S39" i="19"/>
  <c r="T39" i="19" s="1"/>
  <c r="Y39" i="19"/>
  <c r="Z39" i="19" s="1"/>
  <c r="O39" i="19"/>
  <c r="P39" i="19" s="1"/>
  <c r="A39" i="19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L40" i="19"/>
  <c r="L41" i="19"/>
  <c r="N40" i="19"/>
  <c r="L42" i="19"/>
  <c r="Y45" i="19"/>
  <c r="Z45" i="19" s="1"/>
  <c r="N48" i="19"/>
  <c r="E49" i="19"/>
  <c r="M49" i="19"/>
  <c r="AA49" i="19" s="1"/>
  <c r="Y49" i="19"/>
  <c r="Z49" i="19" s="1"/>
  <c r="L50" i="19"/>
  <c r="L45" i="19"/>
  <c r="E41" i="19"/>
  <c r="M41" i="19"/>
  <c r="AA41" i="19" s="1"/>
  <c r="Y41" i="19"/>
  <c r="Z41" i="19" s="1"/>
  <c r="N44" i="19"/>
  <c r="E45" i="19"/>
  <c r="M45" i="19"/>
  <c r="AA45" i="19" s="1"/>
  <c r="L46" i="19"/>
  <c r="O40" i="19"/>
  <c r="P40" i="19" s="1"/>
  <c r="S40" i="19"/>
  <c r="T40" i="19" s="1"/>
  <c r="N41" i="19"/>
  <c r="E42" i="19"/>
  <c r="M42" i="19"/>
  <c r="AA42" i="19" s="1"/>
  <c r="O44" i="19"/>
  <c r="P44" i="19" s="1"/>
  <c r="S44" i="19"/>
  <c r="T44" i="19" s="1"/>
  <c r="N45" i="19"/>
  <c r="E46" i="19"/>
  <c r="M46" i="19"/>
  <c r="AA46" i="19" s="1"/>
  <c r="O48" i="19"/>
  <c r="P48" i="19" s="1"/>
  <c r="S48" i="19"/>
  <c r="T48" i="19" s="1"/>
  <c r="N49" i="19"/>
  <c r="E50" i="19"/>
  <c r="M50" i="19"/>
  <c r="AA50" i="19" s="1"/>
  <c r="Y50" i="19"/>
  <c r="Z50" i="19" s="1"/>
  <c r="O41" i="19"/>
  <c r="P41" i="19" s="1"/>
  <c r="S41" i="19"/>
  <c r="T41" i="19" s="1"/>
  <c r="O45" i="19"/>
  <c r="P45" i="19" s="1"/>
  <c r="S45" i="19"/>
  <c r="T45" i="19" s="1"/>
  <c r="O49" i="19"/>
  <c r="P49" i="19" s="1"/>
  <c r="S49" i="19"/>
  <c r="T49" i="19" s="1"/>
  <c r="N50" i="19"/>
  <c r="O50" i="19"/>
  <c r="P50" i="19" s="1"/>
  <c r="S50" i="19"/>
  <c r="T50" i="19" s="1"/>
  <c r="L37" i="19"/>
  <c r="N32" i="19"/>
  <c r="E32" i="19"/>
  <c r="N31" i="19"/>
  <c r="E31" i="19"/>
  <c r="O31" i="19"/>
  <c r="P31" i="19" s="1"/>
  <c r="Y31" i="19"/>
  <c r="Z31" i="19" s="1"/>
  <c r="S31" i="19"/>
  <c r="T31" i="19" s="1"/>
  <c r="E29" i="19"/>
  <c r="E37" i="19"/>
  <c r="Y37" i="19"/>
  <c r="Z37" i="19" s="1"/>
  <c r="M36" i="19"/>
  <c r="AA36" i="19" s="1"/>
  <c r="E36" i="19"/>
  <c r="N36" i="19"/>
  <c r="E35" i="19"/>
  <c r="N35" i="19"/>
  <c r="S35" i="19"/>
  <c r="T35" i="19" s="1"/>
  <c r="Y35" i="19"/>
  <c r="Z35" i="19" s="1"/>
  <c r="O35" i="19"/>
  <c r="P35" i="19" s="1"/>
  <c r="M35" i="19"/>
  <c r="AA35" i="19" s="1"/>
  <c r="L35" i="19"/>
  <c r="M33" i="19"/>
  <c r="AA33" i="19" s="1"/>
  <c r="E33" i="19"/>
  <c r="M32" i="19"/>
  <c r="AA32" i="19" s="1"/>
  <c r="L33" i="19"/>
  <c r="M31" i="19"/>
  <c r="AA31" i="19" s="1"/>
  <c r="L32" i="19"/>
  <c r="L31" i="19"/>
  <c r="Y28" i="19"/>
  <c r="Z28" i="19" s="1"/>
  <c r="M28" i="19"/>
  <c r="AA28" i="19" s="1"/>
  <c r="L29" i="19"/>
  <c r="E28" i="19"/>
  <c r="M27" i="19"/>
  <c r="AA27" i="19" s="1"/>
  <c r="O27" i="19"/>
  <c r="P27" i="19" s="1"/>
  <c r="A27" i="19"/>
  <c r="L28" i="19"/>
  <c r="E27" i="19"/>
  <c r="N27" i="19"/>
  <c r="S27" i="19"/>
  <c r="T27" i="19" s="1"/>
  <c r="Y27" i="19"/>
  <c r="Z27" i="19" s="1"/>
  <c r="L38" i="19"/>
  <c r="A28" i="19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O28" i="19"/>
  <c r="P28" i="19" s="1"/>
  <c r="S28" i="19"/>
  <c r="T28" i="19" s="1"/>
  <c r="N29" i="19"/>
  <c r="E30" i="19"/>
  <c r="M30" i="19"/>
  <c r="AA30" i="19" s="1"/>
  <c r="Y30" i="19"/>
  <c r="Z30" i="19" s="1"/>
  <c r="O32" i="19"/>
  <c r="P32" i="19" s="1"/>
  <c r="S32" i="19"/>
  <c r="T32" i="19" s="1"/>
  <c r="N33" i="19"/>
  <c r="E34" i="19"/>
  <c r="M34" i="19"/>
  <c r="AA34" i="19" s="1"/>
  <c r="Y34" i="19"/>
  <c r="Z34" i="19" s="1"/>
  <c r="O36" i="19"/>
  <c r="P36" i="19" s="1"/>
  <c r="S36" i="19"/>
  <c r="T36" i="19" s="1"/>
  <c r="N37" i="19"/>
  <c r="E38" i="19"/>
  <c r="M38" i="19"/>
  <c r="AA38" i="19" s="1"/>
  <c r="Y38" i="19"/>
  <c r="Z38" i="19" s="1"/>
  <c r="L30" i="19"/>
  <c r="L34" i="19"/>
  <c r="O29" i="19"/>
  <c r="P29" i="19" s="1"/>
  <c r="S29" i="19"/>
  <c r="T29" i="19" s="1"/>
  <c r="N30" i="19"/>
  <c r="O33" i="19"/>
  <c r="P33" i="19" s="1"/>
  <c r="S33" i="19"/>
  <c r="T33" i="19" s="1"/>
  <c r="N34" i="19"/>
  <c r="L36" i="19"/>
  <c r="O37" i="19"/>
  <c r="P37" i="19" s="1"/>
  <c r="S37" i="19"/>
  <c r="T37" i="19" s="1"/>
  <c r="N38" i="19"/>
  <c r="O30" i="19"/>
  <c r="P30" i="19" s="1"/>
  <c r="S30" i="19"/>
  <c r="T30" i="19" s="1"/>
  <c r="O34" i="19"/>
  <c r="P34" i="19" s="1"/>
  <c r="S34" i="19"/>
  <c r="T34" i="19" s="1"/>
  <c r="O38" i="19"/>
  <c r="P38" i="19" s="1"/>
  <c r="S38" i="19"/>
  <c r="T38" i="19" s="1"/>
  <c r="D26" i="19"/>
  <c r="D14" i="19"/>
  <c r="D12" i="19"/>
  <c r="D11" i="19"/>
  <c r="D10" i="19"/>
  <c r="D13" i="19"/>
  <c r="D25" i="19"/>
  <c r="N25" i="19" s="1"/>
  <c r="D24" i="19"/>
  <c r="N24" i="19" s="1"/>
  <c r="D23" i="19"/>
  <c r="N23" i="19" s="1"/>
  <c r="D22" i="19"/>
  <c r="D21" i="19"/>
  <c r="N21" i="19" s="1"/>
  <c r="D20" i="19"/>
  <c r="L20" i="19" s="1"/>
  <c r="D19" i="19"/>
  <c r="D18" i="19"/>
  <c r="Y18" i="19" s="1"/>
  <c r="Z18" i="19" s="1"/>
  <c r="D17" i="19"/>
  <c r="L17" i="19" s="1"/>
  <c r="D16" i="19"/>
  <c r="Y16" i="19" s="1"/>
  <c r="Z16" i="19" s="1"/>
  <c r="D15" i="19"/>
  <c r="N15" i="19" s="1"/>
  <c r="L22" i="19" l="1"/>
  <c r="L26" i="19"/>
  <c r="L19" i="19"/>
  <c r="Y15" i="19"/>
  <c r="Z15" i="19" s="1"/>
  <c r="S16" i="19"/>
  <c r="T16" i="19" s="1"/>
  <c r="E23" i="19"/>
  <c r="Y19" i="19"/>
  <c r="Z19" i="19" s="1"/>
  <c r="Y23" i="19"/>
  <c r="Z23" i="19" s="1"/>
  <c r="O16" i="19"/>
  <c r="P16" i="19" s="1"/>
  <c r="S20" i="19"/>
  <c r="T20" i="19" s="1"/>
  <c r="S26" i="19"/>
  <c r="T26" i="19" s="1"/>
  <c r="E21" i="19"/>
  <c r="E25" i="19"/>
  <c r="O20" i="19"/>
  <c r="P20" i="19" s="1"/>
  <c r="S24" i="19"/>
  <c r="T24" i="19" s="1"/>
  <c r="N22" i="19"/>
  <c r="O18" i="19"/>
  <c r="P18" i="19" s="1"/>
  <c r="E15" i="19"/>
  <c r="N16" i="19"/>
  <c r="Y17" i="19"/>
  <c r="Z17" i="19" s="1"/>
  <c r="S18" i="19"/>
  <c r="T18" i="19" s="1"/>
  <c r="E19" i="19"/>
  <c r="N20" i="19"/>
  <c r="Y21" i="19"/>
  <c r="Z21" i="19" s="1"/>
  <c r="S22" i="19"/>
  <c r="T22" i="19" s="1"/>
  <c r="O24" i="19"/>
  <c r="P24" i="19" s="1"/>
  <c r="O26" i="19"/>
  <c r="P26" i="19" s="1"/>
  <c r="E17" i="19"/>
  <c r="N18" i="19"/>
  <c r="O22" i="19"/>
  <c r="P22" i="19" s="1"/>
  <c r="Y25" i="19"/>
  <c r="Z25" i="19" s="1"/>
  <c r="L16" i="19"/>
  <c r="N17" i="19"/>
  <c r="L18" i="19"/>
  <c r="N19" i="19"/>
  <c r="L24" i="19"/>
  <c r="O15" i="19"/>
  <c r="P15" i="19" s="1"/>
  <c r="S15" i="19"/>
  <c r="T15" i="19" s="1"/>
  <c r="E16" i="19"/>
  <c r="O17" i="19"/>
  <c r="P17" i="19" s="1"/>
  <c r="S17" i="19"/>
  <c r="T17" i="19" s="1"/>
  <c r="E18" i="19"/>
  <c r="O19" i="19"/>
  <c r="P19" i="19" s="1"/>
  <c r="S19" i="19"/>
  <c r="T19" i="19" s="1"/>
  <c r="E20" i="19"/>
  <c r="Y20" i="19"/>
  <c r="Z20" i="19" s="1"/>
  <c r="O21" i="19"/>
  <c r="P21" i="19" s="1"/>
  <c r="S21" i="19"/>
  <c r="T21" i="19" s="1"/>
  <c r="E22" i="19"/>
  <c r="Y22" i="19"/>
  <c r="Z22" i="19" s="1"/>
  <c r="O23" i="19"/>
  <c r="P23" i="19" s="1"/>
  <c r="S23" i="19"/>
  <c r="T23" i="19" s="1"/>
  <c r="E24" i="19"/>
  <c r="Y24" i="19"/>
  <c r="Z24" i="19" s="1"/>
  <c r="O25" i="19"/>
  <c r="P25" i="19" s="1"/>
  <c r="S25" i="19"/>
  <c r="T25" i="19" s="1"/>
  <c r="E26" i="19"/>
  <c r="Y26" i="19"/>
  <c r="Z26" i="19" s="1"/>
  <c r="L15" i="19"/>
  <c r="L21" i="19"/>
  <c r="L23" i="19"/>
  <c r="L25" i="19"/>
  <c r="N26" i="19"/>
  <c r="E14" i="2"/>
  <c r="K66" i="19" l="1"/>
  <c r="K46" i="19"/>
  <c r="K29" i="19"/>
  <c r="K42" i="19"/>
  <c r="K40" i="19"/>
  <c r="K38" i="19"/>
  <c r="K36" i="19"/>
  <c r="K34" i="19"/>
  <c r="K32" i="19"/>
  <c r="K30" i="19"/>
  <c r="K99" i="19"/>
  <c r="K97" i="19"/>
  <c r="K95" i="19"/>
  <c r="K92" i="19"/>
  <c r="K91" i="19"/>
  <c r="K89" i="19"/>
  <c r="K87" i="19"/>
  <c r="K85" i="19"/>
  <c r="K83" i="19"/>
  <c r="K81" i="19"/>
  <c r="K79" i="19"/>
  <c r="K77" i="19"/>
  <c r="K75" i="19"/>
  <c r="K73" i="19"/>
  <c r="K71" i="19"/>
  <c r="K69" i="19"/>
  <c r="K93" i="19"/>
  <c r="K67" i="19"/>
  <c r="K65" i="19"/>
  <c r="K63" i="19"/>
  <c r="K61" i="19"/>
  <c r="K59" i="19"/>
  <c r="K57" i="19"/>
  <c r="K55" i="19"/>
  <c r="K53" i="19"/>
  <c r="K51" i="19"/>
  <c r="K49" i="19"/>
  <c r="K47" i="19"/>
  <c r="K45" i="19"/>
  <c r="K43" i="19"/>
  <c r="K28" i="19"/>
  <c r="K100" i="19"/>
  <c r="K98" i="19"/>
  <c r="K96" i="19"/>
  <c r="K94" i="19"/>
  <c r="K90" i="19"/>
  <c r="K88" i="19"/>
  <c r="K86" i="19"/>
  <c r="K84" i="19"/>
  <c r="K82" i="19"/>
  <c r="K80" i="19"/>
  <c r="K78" i="19"/>
  <c r="K76" i="19"/>
  <c r="K74" i="19"/>
  <c r="K72" i="19"/>
  <c r="K70" i="19"/>
  <c r="K68" i="19"/>
  <c r="K41" i="19"/>
  <c r="K39" i="19"/>
  <c r="K37" i="19"/>
  <c r="K35" i="19"/>
  <c r="K33" i="19"/>
  <c r="K31" i="19"/>
  <c r="K64" i="19"/>
  <c r="K62" i="19"/>
  <c r="K60" i="19"/>
  <c r="K58" i="19"/>
  <c r="K56" i="19"/>
  <c r="K54" i="19"/>
  <c r="K52" i="19"/>
  <c r="K50" i="19"/>
  <c r="K48" i="19"/>
  <c r="K44" i="19"/>
  <c r="K27" i="19"/>
  <c r="K17" i="19"/>
  <c r="K16" i="19"/>
  <c r="K15" i="19"/>
  <c r="K25" i="19"/>
  <c r="K24" i="19"/>
  <c r="K23" i="19"/>
  <c r="K22" i="19"/>
  <c r="K21" i="19"/>
  <c r="K20" i="19"/>
  <c r="K26" i="19"/>
  <c r="K19" i="19"/>
  <c r="K18" i="19"/>
  <c r="E10" i="2"/>
  <c r="G100" i="19" l="1"/>
  <c r="G98" i="19"/>
  <c r="G96" i="19"/>
  <c r="G94" i="19"/>
  <c r="G56" i="19"/>
  <c r="G54" i="19"/>
  <c r="G52" i="19"/>
  <c r="G50" i="19"/>
  <c r="G48" i="19"/>
  <c r="G46" i="19"/>
  <c r="G41" i="19"/>
  <c r="G39" i="19"/>
  <c r="G37" i="19"/>
  <c r="G35" i="19"/>
  <c r="G33" i="19"/>
  <c r="G31" i="19"/>
  <c r="G90" i="19"/>
  <c r="G88" i="19"/>
  <c r="G86" i="19"/>
  <c r="G84" i="19"/>
  <c r="G82" i="19"/>
  <c r="G80" i="19"/>
  <c r="G78" i="19"/>
  <c r="G76" i="19"/>
  <c r="G74" i="19"/>
  <c r="G72" i="19"/>
  <c r="G70" i="19"/>
  <c r="Q68" i="19"/>
  <c r="R68" i="19" s="1"/>
  <c r="G67" i="19"/>
  <c r="G65" i="19"/>
  <c r="G63" i="19"/>
  <c r="G61" i="19"/>
  <c r="G59" i="19"/>
  <c r="G57" i="19"/>
  <c r="G44" i="19"/>
  <c r="G29" i="19"/>
  <c r="G27" i="19"/>
  <c r="G99" i="19"/>
  <c r="G97" i="19"/>
  <c r="G95" i="19"/>
  <c r="G68" i="19"/>
  <c r="G55" i="19"/>
  <c r="G53" i="19"/>
  <c r="G51" i="19"/>
  <c r="G49" i="19"/>
  <c r="G47" i="19"/>
  <c r="G45" i="19"/>
  <c r="G42" i="19"/>
  <c r="G40" i="19"/>
  <c r="G38" i="19"/>
  <c r="G36" i="19"/>
  <c r="G34" i="19"/>
  <c r="G32" i="19"/>
  <c r="G30" i="19"/>
  <c r="G93" i="19"/>
  <c r="G92" i="19"/>
  <c r="G91" i="19"/>
  <c r="G89" i="19"/>
  <c r="G87" i="19"/>
  <c r="G85" i="19"/>
  <c r="G83" i="19"/>
  <c r="G81" i="19"/>
  <c r="G79" i="19"/>
  <c r="G77" i="19"/>
  <c r="G75" i="19"/>
  <c r="G73" i="19"/>
  <c r="G71" i="19"/>
  <c r="G69" i="19"/>
  <c r="G66" i="19"/>
  <c r="G64" i="19"/>
  <c r="G62" i="19"/>
  <c r="G60" i="19"/>
  <c r="G58" i="19"/>
  <c r="G43" i="19"/>
  <c r="G28" i="19"/>
  <c r="Q98" i="19"/>
  <c r="R98" i="19" s="1"/>
  <c r="Q94" i="19"/>
  <c r="R94" i="19" s="1"/>
  <c r="Q100" i="19"/>
  <c r="R100" i="19" s="1"/>
  <c r="Q90" i="19"/>
  <c r="R90" i="19" s="1"/>
  <c r="Q88" i="19"/>
  <c r="R88" i="19" s="1"/>
  <c r="Q86" i="19"/>
  <c r="R86" i="19" s="1"/>
  <c r="Q82" i="19"/>
  <c r="R82" i="19" s="1"/>
  <c r="Q81" i="19"/>
  <c r="R81" i="19" s="1"/>
  <c r="Q75" i="19"/>
  <c r="R75" i="19" s="1"/>
  <c r="Q76" i="19"/>
  <c r="R76" i="19" s="1"/>
  <c r="Q70" i="19"/>
  <c r="R70" i="19" s="1"/>
  <c r="Q54" i="19"/>
  <c r="R54" i="19" s="1"/>
  <c r="Q52" i="19"/>
  <c r="R52" i="19" s="1"/>
  <c r="Q57" i="19"/>
  <c r="R57" i="19" s="1"/>
  <c r="Q45" i="19"/>
  <c r="R45" i="19" s="1"/>
  <c r="Q35" i="19"/>
  <c r="R35" i="19" s="1"/>
  <c r="Q33" i="19"/>
  <c r="R33" i="19" s="1"/>
  <c r="Q27" i="19"/>
  <c r="R27" i="19" s="1"/>
  <c r="Q34" i="19"/>
  <c r="R34" i="19" s="1"/>
  <c r="G23" i="19"/>
  <c r="G19" i="19"/>
  <c r="G15" i="19"/>
  <c r="Q83" i="19"/>
  <c r="R83" i="19" s="1"/>
  <c r="Q67" i="19"/>
  <c r="R67" i="19" s="1"/>
  <c r="Q58" i="19"/>
  <c r="R58" i="19" s="1"/>
  <c r="Q48" i="19"/>
  <c r="R48" i="19" s="1"/>
  <c r="Q29" i="19"/>
  <c r="R29" i="19" s="1"/>
  <c r="G24" i="19"/>
  <c r="G16" i="19"/>
  <c r="Q92" i="19"/>
  <c r="R92" i="19" s="1"/>
  <c r="Q96" i="19"/>
  <c r="R96" i="19" s="1"/>
  <c r="Q95" i="19"/>
  <c r="R95" i="19" s="1"/>
  <c r="Q93" i="19"/>
  <c r="R93" i="19" s="1"/>
  <c r="Q97" i="19"/>
  <c r="R97" i="19" s="1"/>
  <c r="Q87" i="19"/>
  <c r="R87" i="19" s="1"/>
  <c r="Q85" i="19"/>
  <c r="R85" i="19" s="1"/>
  <c r="Q89" i="19"/>
  <c r="R89" i="19" s="1"/>
  <c r="Q78" i="19"/>
  <c r="R78" i="19" s="1"/>
  <c r="Q79" i="19"/>
  <c r="R79" i="19" s="1"/>
  <c r="Q84" i="19"/>
  <c r="R84" i="19" s="1"/>
  <c r="Q64" i="19"/>
  <c r="R64" i="19" s="1"/>
  <c r="Q62" i="19"/>
  <c r="R62" i="19" s="1"/>
  <c r="Q60" i="19"/>
  <c r="R60" i="19" s="1"/>
  <c r="Q59" i="19"/>
  <c r="R59" i="19" s="1"/>
  <c r="Q61" i="19"/>
  <c r="R61" i="19" s="1"/>
  <c r="Q65" i="19"/>
  <c r="R65" i="19" s="1"/>
  <c r="Q56" i="19"/>
  <c r="R56" i="19" s="1"/>
  <c r="Q51" i="19"/>
  <c r="R51" i="19" s="1"/>
  <c r="Q55" i="19"/>
  <c r="R55" i="19" s="1"/>
  <c r="Q40" i="19"/>
  <c r="R40" i="19" s="1"/>
  <c r="Q43" i="19"/>
  <c r="R43" i="19" s="1"/>
  <c r="Q49" i="19"/>
  <c r="R49" i="19" s="1"/>
  <c r="Q42" i="19"/>
  <c r="R42" i="19" s="1"/>
  <c r="Q46" i="19"/>
  <c r="R46" i="19" s="1"/>
  <c r="Q50" i="19"/>
  <c r="R50" i="19" s="1"/>
  <c r="Q31" i="19"/>
  <c r="R31" i="19" s="1"/>
  <c r="Q38" i="19"/>
  <c r="R38" i="19" s="1"/>
  <c r="G22" i="19"/>
  <c r="G18" i="19"/>
  <c r="Q73" i="19"/>
  <c r="R73" i="19" s="1"/>
  <c r="Q36" i="19"/>
  <c r="R36" i="19" s="1"/>
  <c r="Q37" i="19"/>
  <c r="R37" i="19" s="1"/>
  <c r="Q30" i="19"/>
  <c r="R30" i="19" s="1"/>
  <c r="Q91" i="19"/>
  <c r="R91" i="19" s="1"/>
  <c r="Q77" i="19"/>
  <c r="R77" i="19" s="1"/>
  <c r="Q71" i="19"/>
  <c r="R71" i="19" s="1"/>
  <c r="Q72" i="19"/>
  <c r="R72" i="19" s="1"/>
  <c r="Q74" i="19"/>
  <c r="R74" i="19" s="1"/>
  <c r="Q66" i="19"/>
  <c r="R66" i="19" s="1"/>
  <c r="Q63" i="19"/>
  <c r="R63" i="19" s="1"/>
  <c r="Q53" i="19"/>
  <c r="R53" i="19" s="1"/>
  <c r="Q47" i="19"/>
  <c r="R47" i="19" s="1"/>
  <c r="Q39" i="19"/>
  <c r="R39" i="19" s="1"/>
  <c r="Q41" i="19"/>
  <c r="R41" i="19" s="1"/>
  <c r="G26" i="19"/>
  <c r="G25" i="19"/>
  <c r="G21" i="19"/>
  <c r="G17" i="19"/>
  <c r="Q44" i="19"/>
  <c r="R44" i="19" s="1"/>
  <c r="Q99" i="19"/>
  <c r="R99" i="19" s="1"/>
  <c r="Q80" i="19"/>
  <c r="R80" i="19" s="1"/>
  <c r="Q69" i="19"/>
  <c r="R69" i="19" s="1"/>
  <c r="Q32" i="19"/>
  <c r="R32" i="19" s="1"/>
  <c r="Q28" i="19"/>
  <c r="R28" i="19" s="1"/>
  <c r="G20" i="19"/>
  <c r="Q19" i="19"/>
  <c r="R19" i="19" s="1"/>
  <c r="Q23" i="19"/>
  <c r="R23" i="19" s="1"/>
  <c r="Q18" i="19"/>
  <c r="R18" i="19" s="1"/>
  <c r="Q24" i="19"/>
  <c r="R24" i="19" s="1"/>
  <c r="Q17" i="19"/>
  <c r="R17" i="19" s="1"/>
  <c r="Q20" i="19"/>
  <c r="R20" i="19" s="1"/>
  <c r="Q21" i="19"/>
  <c r="R21" i="19" s="1"/>
  <c r="Q22" i="19"/>
  <c r="R22" i="19" s="1"/>
  <c r="Q16" i="19"/>
  <c r="R16" i="19" s="1"/>
  <c r="Q25" i="19"/>
  <c r="R25" i="19" s="1"/>
  <c r="Q15" i="19"/>
  <c r="R15" i="19" s="1"/>
  <c r="Q26" i="19"/>
  <c r="R26" i="19" s="1"/>
  <c r="H1" i="24"/>
  <c r="H3" i="24"/>
  <c r="E19" i="2" l="1"/>
  <c r="G3" i="24" l="1"/>
  <c r="F3" i="24"/>
  <c r="I3" i="24"/>
  <c r="E3" i="24"/>
  <c r="D3" i="24"/>
  <c r="D45" i="2"/>
  <c r="C3" i="24"/>
  <c r="B3" i="24"/>
  <c r="G1" i="24"/>
  <c r="F1" i="24"/>
  <c r="I1" i="24"/>
  <c r="E1" i="24"/>
  <c r="D1" i="24"/>
  <c r="C1" i="24"/>
  <c r="B1" i="24"/>
  <c r="A3" i="24"/>
  <c r="A4" i="24" l="1"/>
  <c r="A5" i="24" s="1"/>
  <c r="A6" i="24" s="1"/>
  <c r="A7" i="24" s="1"/>
  <c r="A8" i="24" s="1"/>
  <c r="A9" i="24" s="1"/>
  <c r="A10" i="24" s="1"/>
  <c r="A11" i="24" s="1"/>
  <c r="K34" i="2"/>
  <c r="K35" i="2" l="1"/>
  <c r="E10" i="9"/>
  <c r="E12" i="2"/>
  <c r="E13" i="2"/>
  <c r="E6" i="2"/>
  <c r="E7" i="2"/>
  <c r="G2" i="19"/>
  <c r="E11" i="2"/>
  <c r="J99" i="19" l="1"/>
  <c r="J95" i="19"/>
  <c r="J91" i="19"/>
  <c r="J87" i="19"/>
  <c r="J83" i="19"/>
  <c r="J79" i="19"/>
  <c r="J75" i="19"/>
  <c r="J71" i="19"/>
  <c r="J66" i="19"/>
  <c r="J62" i="19"/>
  <c r="J58" i="19"/>
  <c r="J54" i="19"/>
  <c r="J50" i="19"/>
  <c r="J46" i="19"/>
  <c r="J41" i="19"/>
  <c r="J37" i="19"/>
  <c r="J33" i="19"/>
  <c r="J28" i="19"/>
  <c r="J98" i="19"/>
  <c r="J92" i="19"/>
  <c r="J82" i="19"/>
  <c r="J70" i="19"/>
  <c r="J57" i="19"/>
  <c r="J45" i="19"/>
  <c r="J27" i="19"/>
  <c r="J100" i="19"/>
  <c r="J96" i="19"/>
  <c r="J88" i="19"/>
  <c r="J84" i="19"/>
  <c r="J80" i="19"/>
  <c r="J76" i="19"/>
  <c r="J72" i="19"/>
  <c r="J68" i="19"/>
  <c r="J67" i="19"/>
  <c r="J63" i="19"/>
  <c r="J59" i="19"/>
  <c r="J55" i="19"/>
  <c r="J51" i="19"/>
  <c r="J47" i="19"/>
  <c r="J43" i="19"/>
  <c r="J42" i="19"/>
  <c r="J38" i="19"/>
  <c r="J34" i="19"/>
  <c r="J30" i="19"/>
  <c r="J29" i="19"/>
  <c r="J74" i="19"/>
  <c r="J61" i="19"/>
  <c r="J49" i="19"/>
  <c r="J36" i="19"/>
  <c r="J97" i="19"/>
  <c r="J89" i="19"/>
  <c r="J85" i="19"/>
  <c r="J81" i="19"/>
  <c r="J77" i="19"/>
  <c r="J73" i="19"/>
  <c r="J69" i="19"/>
  <c r="J64" i="19"/>
  <c r="J60" i="19"/>
  <c r="J56" i="19"/>
  <c r="J52" i="19"/>
  <c r="J48" i="19"/>
  <c r="J44" i="19"/>
  <c r="J39" i="19"/>
  <c r="J35" i="19"/>
  <c r="J31" i="19"/>
  <c r="J94" i="19"/>
  <c r="J93" i="19"/>
  <c r="J90" i="19"/>
  <c r="J86" i="19"/>
  <c r="J78" i="19"/>
  <c r="J65" i="19"/>
  <c r="J53" i="19"/>
  <c r="J40" i="19"/>
  <c r="J32" i="19"/>
  <c r="W30" i="19"/>
  <c r="X30" i="19" s="1"/>
  <c r="W72" i="19"/>
  <c r="X72" i="19" s="1"/>
  <c r="W31" i="19"/>
  <c r="X31" i="19" s="1"/>
  <c r="W62" i="19"/>
  <c r="X62" i="19" s="1"/>
  <c r="W45" i="19"/>
  <c r="X45" i="19" s="1"/>
  <c r="W95" i="19"/>
  <c r="X95" i="19" s="1"/>
  <c r="W85" i="19"/>
  <c r="X85" i="19" s="1"/>
  <c r="W83" i="19"/>
  <c r="X83" i="19" s="1"/>
  <c r="W70" i="19"/>
  <c r="X70" i="19" s="1"/>
  <c r="W74" i="19"/>
  <c r="X74" i="19" s="1"/>
  <c r="W66" i="19"/>
  <c r="X66" i="19" s="1"/>
  <c r="W63" i="19"/>
  <c r="X63" i="19" s="1"/>
  <c r="W52" i="19"/>
  <c r="X52" i="19" s="1"/>
  <c r="W43" i="19"/>
  <c r="X43" i="19" s="1"/>
  <c r="W44" i="19"/>
  <c r="X44" i="19" s="1"/>
  <c r="W27" i="19"/>
  <c r="X27" i="19" s="1"/>
  <c r="W36" i="19"/>
  <c r="X36" i="19" s="1"/>
  <c r="J26" i="19"/>
  <c r="W32" i="19"/>
  <c r="X32" i="19" s="1"/>
  <c r="W33" i="19"/>
  <c r="X33" i="19" s="1"/>
  <c r="J21" i="19"/>
  <c r="J17" i="19"/>
  <c r="W54" i="19"/>
  <c r="X54" i="19" s="1"/>
  <c r="W34" i="19"/>
  <c r="X34" i="19" s="1"/>
  <c r="W76" i="19"/>
  <c r="X76" i="19" s="1"/>
  <c r="W41" i="19"/>
  <c r="X41" i="19" s="1"/>
  <c r="W79" i="19"/>
  <c r="X79" i="19" s="1"/>
  <c r="W53" i="19"/>
  <c r="X53" i="19" s="1"/>
  <c r="W96" i="19"/>
  <c r="X96" i="19" s="1"/>
  <c r="W94" i="19"/>
  <c r="X94" i="19" s="1"/>
  <c r="W90" i="19"/>
  <c r="X90" i="19" s="1"/>
  <c r="W91" i="19"/>
  <c r="X91" i="19" s="1"/>
  <c r="W84" i="19"/>
  <c r="X84" i="19" s="1"/>
  <c r="W82" i="19"/>
  <c r="X82" i="19" s="1"/>
  <c r="W68" i="19"/>
  <c r="X68" i="19" s="1"/>
  <c r="W65" i="19"/>
  <c r="X65" i="19" s="1"/>
  <c r="W51" i="19"/>
  <c r="X51" i="19" s="1"/>
  <c r="W55" i="19"/>
  <c r="X55" i="19" s="1"/>
  <c r="J25" i="19"/>
  <c r="J15" i="19"/>
  <c r="W46" i="19"/>
  <c r="X46" i="19" s="1"/>
  <c r="W40" i="19"/>
  <c r="X40" i="19" s="1"/>
  <c r="W37" i="19"/>
  <c r="X37" i="19" s="1"/>
  <c r="W38" i="19"/>
  <c r="X38" i="19" s="1"/>
  <c r="W88" i="19"/>
  <c r="X88" i="19" s="1"/>
  <c r="W50" i="19"/>
  <c r="X50" i="19" s="1"/>
  <c r="W92" i="19"/>
  <c r="X92" i="19" s="1"/>
  <c r="W78" i="19"/>
  <c r="X78" i="19" s="1"/>
  <c r="W99" i="19"/>
  <c r="X99" i="19" s="1"/>
  <c r="W71" i="19"/>
  <c r="X71" i="19" s="1"/>
  <c r="W69" i="19"/>
  <c r="X69" i="19" s="1"/>
  <c r="W75" i="19"/>
  <c r="X75" i="19" s="1"/>
  <c r="W64" i="19"/>
  <c r="X64" i="19" s="1"/>
  <c r="W59" i="19"/>
  <c r="X59" i="19" s="1"/>
  <c r="W100" i="19"/>
  <c r="X100" i="19" s="1"/>
  <c r="W58" i="19"/>
  <c r="X58" i="19" s="1"/>
  <c r="W35" i="19"/>
  <c r="X35" i="19" s="1"/>
  <c r="W98" i="19"/>
  <c r="X98" i="19" s="1"/>
  <c r="W93" i="19"/>
  <c r="X93" i="19" s="1"/>
  <c r="W97" i="19"/>
  <c r="X97" i="19" s="1"/>
  <c r="W86" i="19"/>
  <c r="X86" i="19" s="1"/>
  <c r="W89" i="19"/>
  <c r="X89" i="19" s="1"/>
  <c r="W87" i="19"/>
  <c r="X87" i="19" s="1"/>
  <c r="W80" i="19"/>
  <c r="X80" i="19" s="1"/>
  <c r="W77" i="19"/>
  <c r="X77" i="19" s="1"/>
  <c r="W81" i="19"/>
  <c r="X81" i="19" s="1"/>
  <c r="W73" i="19"/>
  <c r="X73" i="19" s="1"/>
  <c r="W60" i="19"/>
  <c r="X60" i="19" s="1"/>
  <c r="W67" i="19"/>
  <c r="X67" i="19" s="1"/>
  <c r="W56" i="19"/>
  <c r="X56" i="19" s="1"/>
  <c r="W57" i="19"/>
  <c r="X57" i="19" s="1"/>
  <c r="W42" i="19"/>
  <c r="X42" i="19" s="1"/>
  <c r="W47" i="19"/>
  <c r="X47" i="19" s="1"/>
  <c r="W39" i="19"/>
  <c r="X39" i="19" s="1"/>
  <c r="J24" i="19"/>
  <c r="J22" i="19"/>
  <c r="J20" i="19"/>
  <c r="J18" i="19"/>
  <c r="J16" i="19"/>
  <c r="W49" i="19"/>
  <c r="X49" i="19" s="1"/>
  <c r="W29" i="19"/>
  <c r="X29" i="19" s="1"/>
  <c r="J23" i="19"/>
  <c r="J19" i="19"/>
  <c r="W61" i="19"/>
  <c r="X61" i="19" s="1"/>
  <c r="W48" i="19"/>
  <c r="X48" i="19" s="1"/>
  <c r="W28" i="19"/>
  <c r="X28" i="19" s="1"/>
  <c r="W18" i="19"/>
  <c r="X18" i="19" s="1"/>
  <c r="W26" i="19"/>
  <c r="X26" i="19" s="1"/>
  <c r="W15" i="19"/>
  <c r="X15" i="19" s="1"/>
  <c r="W17" i="19"/>
  <c r="X17" i="19" s="1"/>
  <c r="W19" i="19"/>
  <c r="X19" i="19" s="1"/>
  <c r="W22" i="19"/>
  <c r="X22" i="19" s="1"/>
  <c r="W20" i="19"/>
  <c r="X20" i="19" s="1"/>
  <c r="W21" i="19"/>
  <c r="X21" i="19" s="1"/>
  <c r="W23" i="19"/>
  <c r="X23" i="19" s="1"/>
  <c r="W16" i="19"/>
  <c r="X16" i="19" s="1"/>
  <c r="W24" i="19"/>
  <c r="X24" i="19" s="1"/>
  <c r="W25" i="19"/>
  <c r="X25" i="19" s="1"/>
  <c r="I67" i="19"/>
  <c r="I66" i="19"/>
  <c r="I65" i="19"/>
  <c r="I64" i="19"/>
  <c r="I63" i="19"/>
  <c r="I62" i="19"/>
  <c r="I61" i="19"/>
  <c r="I60" i="19"/>
  <c r="I59" i="19"/>
  <c r="I58" i="19"/>
  <c r="I57" i="19"/>
  <c r="I29" i="19"/>
  <c r="I28" i="19"/>
  <c r="I27" i="19"/>
  <c r="I56" i="19"/>
  <c r="I54" i="19"/>
  <c r="I52" i="19"/>
  <c r="I49" i="19"/>
  <c r="I47" i="19"/>
  <c r="I92" i="19"/>
  <c r="I50" i="19"/>
  <c r="I100" i="19"/>
  <c r="I99" i="19"/>
  <c r="I98" i="19"/>
  <c r="I97" i="19"/>
  <c r="I96" i="19"/>
  <c r="I95" i="19"/>
  <c r="I94" i="19"/>
  <c r="U92" i="19"/>
  <c r="V92" i="19" s="1"/>
  <c r="U56" i="19"/>
  <c r="V56" i="19" s="1"/>
  <c r="I44" i="19"/>
  <c r="I43" i="19"/>
  <c r="I93" i="19"/>
  <c r="I91" i="19"/>
  <c r="I90" i="19"/>
  <c r="I89" i="19"/>
  <c r="I88" i="19"/>
  <c r="I87" i="19"/>
  <c r="I86" i="19"/>
  <c r="I85" i="19"/>
  <c r="I84" i="19"/>
  <c r="I83" i="19"/>
  <c r="I82" i="19"/>
  <c r="I81" i="19"/>
  <c r="I80" i="19"/>
  <c r="I79" i="19"/>
  <c r="I78" i="19"/>
  <c r="I77" i="19"/>
  <c r="I76" i="19"/>
  <c r="I75" i="19"/>
  <c r="I74" i="19"/>
  <c r="I73" i="19"/>
  <c r="I72" i="19"/>
  <c r="I71" i="19"/>
  <c r="I70" i="19"/>
  <c r="I69" i="19"/>
  <c r="I68" i="19"/>
  <c r="U44" i="19"/>
  <c r="V44" i="19" s="1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55" i="19"/>
  <c r="I53" i="19"/>
  <c r="I51" i="19"/>
  <c r="I48" i="19"/>
  <c r="I46" i="19"/>
  <c r="I45" i="19"/>
  <c r="U64" i="19"/>
  <c r="V64" i="19" s="1"/>
  <c r="U75" i="19"/>
  <c r="V75" i="19" s="1"/>
  <c r="U96" i="19"/>
  <c r="V96" i="19" s="1"/>
  <c r="U86" i="19"/>
  <c r="V86" i="19" s="1"/>
  <c r="U84" i="19"/>
  <c r="V84" i="19" s="1"/>
  <c r="U77" i="19"/>
  <c r="V77" i="19" s="1"/>
  <c r="U69" i="19"/>
  <c r="V69" i="19" s="1"/>
  <c r="U60" i="19"/>
  <c r="V60" i="19" s="1"/>
  <c r="U52" i="19"/>
  <c r="V52" i="19" s="1"/>
  <c r="U40" i="19"/>
  <c r="V40" i="19" s="1"/>
  <c r="U48" i="19"/>
  <c r="V48" i="19" s="1"/>
  <c r="U45" i="19"/>
  <c r="V45" i="19" s="1"/>
  <c r="U42" i="19"/>
  <c r="V42" i="19" s="1"/>
  <c r="U29" i="19"/>
  <c r="V29" i="19" s="1"/>
  <c r="U72" i="19"/>
  <c r="V72" i="19" s="1"/>
  <c r="U31" i="19"/>
  <c r="V31" i="19" s="1"/>
  <c r="U34" i="19"/>
  <c r="V34" i="19" s="1"/>
  <c r="I17" i="19"/>
  <c r="U32" i="19"/>
  <c r="V32" i="19" s="1"/>
  <c r="U82" i="19"/>
  <c r="V82" i="19" s="1"/>
  <c r="U98" i="19"/>
  <c r="V98" i="19" s="1"/>
  <c r="U95" i="19"/>
  <c r="V95" i="19" s="1"/>
  <c r="U97" i="19"/>
  <c r="V97" i="19" s="1"/>
  <c r="U87" i="19"/>
  <c r="V87" i="19" s="1"/>
  <c r="U91" i="19"/>
  <c r="V91" i="19" s="1"/>
  <c r="U81" i="19"/>
  <c r="V81" i="19" s="1"/>
  <c r="U73" i="19"/>
  <c r="V73" i="19" s="1"/>
  <c r="U62" i="19"/>
  <c r="V62" i="19" s="1"/>
  <c r="U59" i="19"/>
  <c r="V59" i="19" s="1"/>
  <c r="U63" i="19"/>
  <c r="V63" i="19" s="1"/>
  <c r="U67" i="19"/>
  <c r="V67" i="19" s="1"/>
  <c r="U65" i="19"/>
  <c r="V65" i="19" s="1"/>
  <c r="U58" i="19"/>
  <c r="V58" i="19" s="1"/>
  <c r="U55" i="19"/>
  <c r="V55" i="19" s="1"/>
  <c r="U47" i="19"/>
  <c r="V47" i="19" s="1"/>
  <c r="U43" i="19"/>
  <c r="V43" i="19" s="1"/>
  <c r="U49" i="19"/>
  <c r="V49" i="19" s="1"/>
  <c r="U36" i="19"/>
  <c r="V36" i="19" s="1"/>
  <c r="U35" i="19"/>
  <c r="V35" i="19" s="1"/>
  <c r="I24" i="19"/>
  <c r="I20" i="19"/>
  <c r="I16" i="19"/>
  <c r="U79" i="19"/>
  <c r="V79" i="19" s="1"/>
  <c r="U70" i="19"/>
  <c r="V70" i="19" s="1"/>
  <c r="U61" i="19"/>
  <c r="V61" i="19" s="1"/>
  <c r="U53" i="19"/>
  <c r="V53" i="19" s="1"/>
  <c r="U51" i="19"/>
  <c r="V51" i="19" s="1"/>
  <c r="U50" i="19"/>
  <c r="V50" i="19" s="1"/>
  <c r="U30" i="19"/>
  <c r="V30" i="19" s="1"/>
  <c r="U38" i="19"/>
  <c r="V38" i="19" s="1"/>
  <c r="I21" i="19"/>
  <c r="U33" i="19"/>
  <c r="V33" i="19" s="1"/>
  <c r="U90" i="19"/>
  <c r="V90" i="19" s="1"/>
  <c r="U99" i="19"/>
  <c r="V99" i="19" s="1"/>
  <c r="U100" i="19"/>
  <c r="V100" i="19" s="1"/>
  <c r="U93" i="19"/>
  <c r="V93" i="19" s="1"/>
  <c r="U89" i="19"/>
  <c r="V89" i="19" s="1"/>
  <c r="U78" i="19"/>
  <c r="V78" i="19" s="1"/>
  <c r="U66" i="19"/>
  <c r="V66" i="19" s="1"/>
  <c r="U71" i="19"/>
  <c r="V71" i="19" s="1"/>
  <c r="U94" i="19"/>
  <c r="V94" i="19" s="1"/>
  <c r="U88" i="19"/>
  <c r="V88" i="19" s="1"/>
  <c r="U85" i="19"/>
  <c r="V85" i="19" s="1"/>
  <c r="U80" i="19"/>
  <c r="V80" i="19" s="1"/>
  <c r="U83" i="19"/>
  <c r="V83" i="19" s="1"/>
  <c r="U76" i="19"/>
  <c r="V76" i="19" s="1"/>
  <c r="U74" i="19"/>
  <c r="V74" i="19" s="1"/>
  <c r="U68" i="19"/>
  <c r="V68" i="19" s="1"/>
  <c r="U54" i="19"/>
  <c r="V54" i="19" s="1"/>
  <c r="U57" i="19"/>
  <c r="V57" i="19" s="1"/>
  <c r="U39" i="19"/>
  <c r="V39" i="19" s="1"/>
  <c r="U41" i="19"/>
  <c r="V41" i="19" s="1"/>
  <c r="U46" i="19"/>
  <c r="V46" i="19" s="1"/>
  <c r="U28" i="19"/>
  <c r="V28" i="19" s="1"/>
  <c r="I22" i="19"/>
  <c r="I18" i="19"/>
  <c r="I26" i="19"/>
  <c r="I23" i="19"/>
  <c r="I19" i="19"/>
  <c r="I15" i="19"/>
  <c r="U37" i="19"/>
  <c r="V37" i="19" s="1"/>
  <c r="U27" i="19"/>
  <c r="V27" i="19" s="1"/>
  <c r="I25" i="19"/>
  <c r="U18" i="19"/>
  <c r="V18" i="19" s="1"/>
  <c r="U17" i="19"/>
  <c r="V17" i="19" s="1"/>
  <c r="U20" i="19"/>
  <c r="V20" i="19" s="1"/>
  <c r="U24" i="19"/>
  <c r="V24" i="19" s="1"/>
  <c r="U25" i="19"/>
  <c r="V25" i="19" s="1"/>
  <c r="U22" i="19"/>
  <c r="V22" i="19" s="1"/>
  <c r="U26" i="19"/>
  <c r="V26" i="19" s="1"/>
  <c r="U23" i="19"/>
  <c r="V23" i="19" s="1"/>
  <c r="U19" i="19"/>
  <c r="V19" i="19" s="1"/>
  <c r="U15" i="19"/>
  <c r="V15" i="19" s="1"/>
  <c r="U21" i="19"/>
  <c r="V21" i="19" s="1"/>
  <c r="U16" i="19"/>
  <c r="V16" i="19" s="1"/>
  <c r="H40" i="19"/>
  <c r="H48" i="19"/>
  <c r="H30" i="19"/>
  <c r="H98" i="19"/>
  <c r="H94" i="19"/>
  <c r="H91" i="19"/>
  <c r="H87" i="19"/>
  <c r="H83" i="19"/>
  <c r="H79" i="19"/>
  <c r="H75" i="19"/>
  <c r="H71" i="19"/>
  <c r="H64" i="19"/>
  <c r="H60" i="19"/>
  <c r="H53" i="19"/>
  <c r="H49" i="19"/>
  <c r="H45" i="19"/>
  <c r="H35" i="19"/>
  <c r="H42" i="19"/>
  <c r="H34" i="19"/>
  <c r="H27" i="19"/>
  <c r="H97" i="19"/>
  <c r="H92" i="19"/>
  <c r="H90" i="19"/>
  <c r="H86" i="19"/>
  <c r="H82" i="19"/>
  <c r="H78" i="19"/>
  <c r="H74" i="19"/>
  <c r="H70" i="19"/>
  <c r="H67" i="19"/>
  <c r="H63" i="19"/>
  <c r="H100" i="19"/>
  <c r="H96" i="19"/>
  <c r="H93" i="19"/>
  <c r="H89" i="19"/>
  <c r="H85" i="19"/>
  <c r="H81" i="19"/>
  <c r="H77" i="19"/>
  <c r="H73" i="19"/>
  <c r="H69" i="19"/>
  <c r="H66" i="19"/>
  <c r="H62" i="19"/>
  <c r="H58" i="19"/>
  <c r="H55" i="19"/>
  <c r="H51" i="19"/>
  <c r="H47" i="19"/>
  <c r="H44" i="19"/>
  <c r="H41" i="19"/>
  <c r="H37" i="19"/>
  <c r="H33" i="19"/>
  <c r="H99" i="19"/>
  <c r="H95" i="19"/>
  <c r="H88" i="19"/>
  <c r="H84" i="19"/>
  <c r="H80" i="19"/>
  <c r="H76" i="19"/>
  <c r="H72" i="19"/>
  <c r="H68" i="19"/>
  <c r="H65" i="19"/>
  <c r="H61" i="19"/>
  <c r="H57" i="19"/>
  <c r="H54" i="19"/>
  <c r="H50" i="19"/>
  <c r="H46" i="19"/>
  <c r="H43" i="19"/>
  <c r="H36" i="19"/>
  <c r="H32" i="19"/>
  <c r="H29" i="19"/>
  <c r="H39" i="19"/>
  <c r="H31" i="19"/>
  <c r="H28" i="19"/>
  <c r="H59" i="19"/>
  <c r="H56" i="19"/>
  <c r="H52" i="19"/>
  <c r="H38" i="19"/>
  <c r="H24" i="19"/>
  <c r="H18" i="19"/>
  <c r="H26" i="19"/>
  <c r="H25" i="19"/>
  <c r="H23" i="19"/>
  <c r="H22" i="19"/>
  <c r="H21" i="19"/>
  <c r="H20" i="19"/>
  <c r="H19" i="19"/>
  <c r="H17" i="19"/>
  <c r="H16" i="19"/>
  <c r="H15" i="19"/>
  <c r="E22" i="2"/>
  <c r="E24" i="2"/>
  <c r="E26" i="2"/>
  <c r="E25" i="2"/>
  <c r="E23" i="2"/>
  <c r="P17" i="2"/>
  <c r="Q17" i="2" s="1"/>
  <c r="D6" i="9"/>
  <c r="E6" i="9" s="1"/>
  <c r="E9" i="2"/>
  <c r="D5" i="9"/>
  <c r="E5" i="9" s="1"/>
  <c r="D8" i="9"/>
  <c r="D9" i="9"/>
  <c r="E9" i="9" s="1"/>
  <c r="D14" i="9"/>
  <c r="E14" i="9" s="1"/>
  <c r="E31" i="2"/>
  <c r="E30" i="2"/>
  <c r="P25" i="2"/>
  <c r="P9" i="2"/>
  <c r="P21" i="2"/>
  <c r="I7" i="19"/>
  <c r="J5" i="19"/>
  <c r="I4" i="19"/>
  <c r="I3" i="19"/>
  <c r="J4" i="19"/>
  <c r="I14" i="19"/>
  <c r="I2" i="19"/>
  <c r="J3" i="19"/>
  <c r="W14" i="19"/>
  <c r="X14" i="19" s="1"/>
  <c r="J2" i="19"/>
  <c r="I12" i="19"/>
  <c r="J13" i="19"/>
  <c r="U14" i="19"/>
  <c r="V14" i="19" s="1"/>
  <c r="I5" i="19"/>
  <c r="W13" i="19"/>
  <c r="X13" i="19" s="1"/>
  <c r="I11" i="19"/>
  <c r="J12" i="19"/>
  <c r="U13" i="19"/>
  <c r="V13" i="19" s="1"/>
  <c r="J8" i="19"/>
  <c r="J7" i="19"/>
  <c r="J14" i="19"/>
  <c r="I10" i="19"/>
  <c r="J11" i="19"/>
  <c r="I6" i="19"/>
  <c r="J6" i="19"/>
  <c r="I13" i="19"/>
  <c r="I9" i="19"/>
  <c r="J10" i="19"/>
  <c r="I8" i="19"/>
  <c r="J9" i="19"/>
  <c r="E16" i="2"/>
  <c r="F16" i="2" s="1"/>
  <c r="D55" i="2"/>
  <c r="F9" i="2" l="1"/>
  <c r="F99" i="19"/>
  <c r="F95" i="19"/>
  <c r="F92" i="19"/>
  <c r="F90" i="19"/>
  <c r="F86" i="19"/>
  <c r="F82" i="19"/>
  <c r="F78" i="19"/>
  <c r="F74" i="19"/>
  <c r="F70" i="19"/>
  <c r="F64" i="19"/>
  <c r="F60" i="19"/>
  <c r="F55" i="19"/>
  <c r="F51" i="19"/>
  <c r="F47" i="19"/>
  <c r="F41" i="19"/>
  <c r="F37" i="19"/>
  <c r="F33" i="19"/>
  <c r="F28" i="19"/>
  <c r="F40" i="19"/>
  <c r="F32" i="19"/>
  <c r="F100" i="19"/>
  <c r="F96" i="19"/>
  <c r="F91" i="19"/>
  <c r="F87" i="19"/>
  <c r="F83" i="19"/>
  <c r="F79" i="19"/>
  <c r="F75" i="19"/>
  <c r="F71" i="19"/>
  <c r="F65" i="19"/>
  <c r="F61" i="19"/>
  <c r="F57" i="19"/>
  <c r="F56" i="19"/>
  <c r="F52" i="19"/>
  <c r="F48" i="19"/>
  <c r="F43" i="19"/>
  <c r="F42" i="19"/>
  <c r="F38" i="19"/>
  <c r="F34" i="19"/>
  <c r="F30" i="19"/>
  <c r="F29" i="19"/>
  <c r="F59" i="19"/>
  <c r="F54" i="19"/>
  <c r="F97" i="19"/>
  <c r="F88" i="19"/>
  <c r="F84" i="19"/>
  <c r="F80" i="19"/>
  <c r="F76" i="19"/>
  <c r="F72" i="19"/>
  <c r="F66" i="19"/>
  <c r="F62" i="19"/>
  <c r="F58" i="19"/>
  <c r="F53" i="19"/>
  <c r="F49" i="19"/>
  <c r="F45" i="19"/>
  <c r="F44" i="19"/>
  <c r="F39" i="19"/>
  <c r="F35" i="19"/>
  <c r="F31" i="19"/>
  <c r="F98" i="19"/>
  <c r="F94" i="19"/>
  <c r="F93" i="19"/>
  <c r="F89" i="19"/>
  <c r="F85" i="19"/>
  <c r="F81" i="19"/>
  <c r="F77" i="19"/>
  <c r="F73" i="19"/>
  <c r="F69" i="19"/>
  <c r="F68" i="19"/>
  <c r="F67" i="19"/>
  <c r="F63" i="19"/>
  <c r="F50" i="19"/>
  <c r="F46" i="19"/>
  <c r="F36" i="19"/>
  <c r="F27" i="19"/>
  <c r="F25" i="19"/>
  <c r="F23" i="19"/>
  <c r="F21" i="19"/>
  <c r="F19" i="19"/>
  <c r="F17" i="19"/>
  <c r="F15" i="19"/>
  <c r="F26" i="19"/>
  <c r="F24" i="19"/>
  <c r="F22" i="19"/>
  <c r="F20" i="19"/>
  <c r="F18" i="19"/>
  <c r="F16" i="19"/>
  <c r="D12" i="9"/>
  <c r="E12" i="9" s="1"/>
  <c r="B5" i="9"/>
  <c r="C5" i="9" s="1"/>
  <c r="E21" i="2"/>
  <c r="D13" i="9"/>
  <c r="E13" i="9" s="1"/>
  <c r="E8" i="9"/>
  <c r="D15" i="2" s="1"/>
  <c r="D11" i="9"/>
  <c r="E11" i="9" s="1"/>
  <c r="Q25" i="2"/>
  <c r="B6" i="9"/>
  <c r="C6" i="9" s="1"/>
  <c r="A2" i="19"/>
  <c r="D3" i="19"/>
  <c r="D5" i="19"/>
  <c r="D6" i="19"/>
  <c r="D7" i="19"/>
  <c r="D8" i="19"/>
  <c r="K6" i="2" s="1"/>
  <c r="D9" i="19"/>
  <c r="Y13" i="19"/>
  <c r="Z13" i="19" s="1"/>
  <c r="E14" i="19"/>
  <c r="D4" i="19"/>
  <c r="D2" i="19"/>
  <c r="M26" i="19" l="1"/>
  <c r="AA26" i="19" s="1"/>
  <c r="M22" i="19"/>
  <c r="AA22" i="19" s="1"/>
  <c r="M16" i="19"/>
  <c r="AA16" i="19" s="1"/>
  <c r="M18" i="19"/>
  <c r="AA18" i="19" s="1"/>
  <c r="M17" i="19"/>
  <c r="AA17" i="19" s="1"/>
  <c r="M19" i="19"/>
  <c r="AA19" i="19" s="1"/>
  <c r="M25" i="19"/>
  <c r="AA25" i="19" s="1"/>
  <c r="M20" i="19"/>
  <c r="AA20" i="19" s="1"/>
  <c r="M24" i="19"/>
  <c r="AA24" i="19" s="1"/>
  <c r="M23" i="19"/>
  <c r="AA23" i="19" s="1"/>
  <c r="M15" i="19"/>
  <c r="AA15" i="19" s="1"/>
  <c r="M21" i="19"/>
  <c r="AA21" i="19" s="1"/>
  <c r="M14" i="19"/>
  <c r="M13" i="19"/>
  <c r="M10" i="19"/>
  <c r="M9" i="19"/>
  <c r="L3" i="19"/>
  <c r="A3" i="19"/>
  <c r="A4" i="19" s="1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E12" i="19"/>
  <c r="W12" i="19"/>
  <c r="X12" i="19" s="1"/>
  <c r="U12" i="19"/>
  <c r="V12" i="19" s="1"/>
  <c r="M12" i="19"/>
  <c r="S11" i="19"/>
  <c r="T11" i="19" s="1"/>
  <c r="W11" i="19"/>
  <c r="X11" i="19" s="1"/>
  <c r="U11" i="19"/>
  <c r="V11" i="19" s="1"/>
  <c r="M11" i="19"/>
  <c r="Y10" i="19"/>
  <c r="Z10" i="19" s="1"/>
  <c r="W10" i="19"/>
  <c r="X10" i="19" s="1"/>
  <c r="U10" i="19"/>
  <c r="V10" i="19" s="1"/>
  <c r="Y9" i="19"/>
  <c r="Z9" i="19" s="1"/>
  <c r="W9" i="19"/>
  <c r="X9" i="19" s="1"/>
  <c r="U9" i="19"/>
  <c r="V9" i="19" s="1"/>
  <c r="M5" i="19"/>
  <c r="E8" i="19"/>
  <c r="U8" i="19"/>
  <c r="V8" i="19" s="1"/>
  <c r="W8" i="19"/>
  <c r="X8" i="19" s="1"/>
  <c r="M8" i="19"/>
  <c r="U7" i="19"/>
  <c r="V7" i="19" s="1"/>
  <c r="W7" i="19"/>
  <c r="X7" i="19" s="1"/>
  <c r="Y6" i="19"/>
  <c r="Z6" i="19" s="1"/>
  <c r="U6" i="19"/>
  <c r="V6" i="19" s="1"/>
  <c r="W6" i="19"/>
  <c r="X6" i="19" s="1"/>
  <c r="M6" i="19"/>
  <c r="Y5" i="19"/>
  <c r="Z5" i="19" s="1"/>
  <c r="W5" i="19"/>
  <c r="X5" i="19" s="1"/>
  <c r="U5" i="19"/>
  <c r="V5" i="19" s="1"/>
  <c r="U2" i="19"/>
  <c r="V2" i="19" s="1"/>
  <c r="W2" i="19"/>
  <c r="X2" i="19" s="1"/>
  <c r="E4" i="19"/>
  <c r="U4" i="19"/>
  <c r="V4" i="19" s="1"/>
  <c r="W4" i="19"/>
  <c r="X4" i="19" s="1"/>
  <c r="E3" i="19"/>
  <c r="U3" i="19"/>
  <c r="V3" i="19" s="1"/>
  <c r="W3" i="19"/>
  <c r="X3" i="19" s="1"/>
  <c r="Q2" i="19"/>
  <c r="R2" i="19" s="1"/>
  <c r="E2" i="19"/>
  <c r="L14" i="19"/>
  <c r="G3" i="19"/>
  <c r="Y14" i="19"/>
  <c r="Z14" i="19" s="1"/>
  <c r="G14" i="19"/>
  <c r="G12" i="19"/>
  <c r="G10" i="19"/>
  <c r="G8" i="19"/>
  <c r="G6" i="19"/>
  <c r="G4" i="19"/>
  <c r="G13" i="19"/>
  <c r="G11" i="19"/>
  <c r="G9" i="19"/>
  <c r="G7" i="19"/>
  <c r="G5" i="19"/>
  <c r="Q7" i="19"/>
  <c r="R7" i="19" s="1"/>
  <c r="N13" i="19"/>
  <c r="O13" i="19"/>
  <c r="P13" i="19" s="1"/>
  <c r="Q13" i="19"/>
  <c r="R13" i="19" s="1"/>
  <c r="S13" i="19"/>
  <c r="T13" i="19" s="1"/>
  <c r="E13" i="19"/>
  <c r="L13" i="19"/>
  <c r="N14" i="19"/>
  <c r="O14" i="19"/>
  <c r="P14" i="19" s="1"/>
  <c r="Q14" i="19"/>
  <c r="R14" i="19" s="1"/>
  <c r="S14" i="19"/>
  <c r="T14" i="19" s="1"/>
  <c r="L6" i="19"/>
  <c r="S3" i="19"/>
  <c r="T3" i="19" s="1"/>
  <c r="Y3" i="19"/>
  <c r="Z3" i="19" s="1"/>
  <c r="S7" i="19"/>
  <c r="T7" i="19" s="1"/>
  <c r="Y7" i="19"/>
  <c r="Z7" i="19" s="1"/>
  <c r="N3" i="19"/>
  <c r="Q3" i="19"/>
  <c r="R3" i="19" s="1"/>
  <c r="Y4" i="19"/>
  <c r="Z4" i="19" s="1"/>
  <c r="L12" i="19"/>
  <c r="Y12" i="19"/>
  <c r="Z12" i="19" s="1"/>
  <c r="N12" i="19"/>
  <c r="O12" i="19"/>
  <c r="P12" i="19" s="1"/>
  <c r="Q12" i="19"/>
  <c r="R12" i="19" s="1"/>
  <c r="S12" i="19"/>
  <c r="T12" i="19" s="1"/>
  <c r="N11" i="19"/>
  <c r="Q11" i="19"/>
  <c r="R11" i="19" s="1"/>
  <c r="E11" i="19"/>
  <c r="Y11" i="19"/>
  <c r="Z11" i="19" s="1"/>
  <c r="L11" i="19"/>
  <c r="O11" i="19"/>
  <c r="P11" i="19" s="1"/>
  <c r="N10" i="19"/>
  <c r="Q10" i="19"/>
  <c r="R10" i="19" s="1"/>
  <c r="S10" i="19"/>
  <c r="T10" i="19" s="1"/>
  <c r="E10" i="19"/>
  <c r="L10" i="19"/>
  <c r="S9" i="19"/>
  <c r="T9" i="19" s="1"/>
  <c r="L9" i="19"/>
  <c r="N9" i="19"/>
  <c r="Q9" i="19"/>
  <c r="R9" i="19" s="1"/>
  <c r="E9" i="19"/>
  <c r="L8" i="19"/>
  <c r="Y8" i="19"/>
  <c r="Z8" i="19" s="1"/>
  <c r="N8" i="19"/>
  <c r="Q8" i="19"/>
  <c r="R8" i="19" s="1"/>
  <c r="S8" i="19"/>
  <c r="T8" i="19" s="1"/>
  <c r="M7" i="19"/>
  <c r="L7" i="19"/>
  <c r="E7" i="19"/>
  <c r="N7" i="19"/>
  <c r="E6" i="19"/>
  <c r="N6" i="19"/>
  <c r="Q6" i="19"/>
  <c r="R6" i="19" s="1"/>
  <c r="S6" i="19"/>
  <c r="T6" i="19" s="1"/>
  <c r="S5" i="19"/>
  <c r="T5" i="19" s="1"/>
  <c r="E5" i="19"/>
  <c r="L5" i="19"/>
  <c r="N5" i="19"/>
  <c r="Q5" i="19"/>
  <c r="R5" i="19" s="1"/>
  <c r="L4" i="19"/>
  <c r="N4" i="19"/>
  <c r="Q4" i="19"/>
  <c r="R4" i="19" s="1"/>
  <c r="S4" i="19"/>
  <c r="T4" i="19" s="1"/>
  <c r="N2" i="19"/>
  <c r="M3" i="19"/>
  <c r="M4" i="19"/>
  <c r="AA13" i="19"/>
  <c r="AA2" i="19"/>
  <c r="K31" i="2" l="1"/>
  <c r="K32" i="2" s="1"/>
  <c r="K15" i="2"/>
  <c r="K9" i="2"/>
  <c r="P10" i="2"/>
  <c r="Q10" i="2" s="1"/>
  <c r="P18" i="2"/>
  <c r="Q18" i="2" s="1"/>
  <c r="P26" i="2"/>
  <c r="Q26" i="2" s="1"/>
  <c r="P22" i="2"/>
  <c r="Q22" i="2" s="1"/>
  <c r="K27" i="2"/>
  <c r="L27" i="2" s="1"/>
  <c r="O18" i="2"/>
  <c r="O19" i="2"/>
  <c r="O26" i="2"/>
  <c r="O23" i="2"/>
  <c r="O28" i="2"/>
  <c r="L6" i="2"/>
  <c r="K26" i="2"/>
  <c r="K28" i="2" s="1"/>
  <c r="K21" i="2"/>
  <c r="K22" i="2"/>
  <c r="K24" i="2"/>
  <c r="K7" i="2"/>
  <c r="K13" i="2" s="1"/>
  <c r="K18" i="2"/>
  <c r="K19" i="2"/>
  <c r="AA4" i="19"/>
  <c r="AA7" i="19"/>
  <c r="AA9" i="19"/>
  <c r="AA8" i="19"/>
  <c r="AA5" i="19"/>
  <c r="AA10" i="19"/>
  <c r="AA11" i="19"/>
  <c r="AA12" i="19"/>
  <c r="AA3" i="19"/>
  <c r="AA6" i="19"/>
  <c r="P28" i="2" l="1"/>
  <c r="P19" i="2"/>
  <c r="P15" i="2"/>
  <c r="P11" i="2"/>
  <c r="P23" i="2"/>
  <c r="P7" i="2"/>
  <c r="K16" i="2"/>
  <c r="L7" i="2"/>
  <c r="K12" i="2"/>
  <c r="L26" i="2"/>
  <c r="K29" i="2"/>
  <c r="L31" i="2"/>
  <c r="L22" i="2"/>
  <c r="L19" i="2"/>
  <c r="Q9" i="2" l="1"/>
  <c r="F2" i="19" l="1"/>
  <c r="F4" i="19"/>
  <c r="F6" i="19"/>
  <c r="F8" i="19"/>
  <c r="F10" i="19"/>
  <c r="F12" i="19"/>
  <c r="F14" i="19"/>
  <c r="F3" i="19"/>
  <c r="F5" i="19"/>
  <c r="F7" i="19"/>
  <c r="F9" i="19"/>
  <c r="F11" i="19"/>
  <c r="F13" i="19"/>
  <c r="P5" i="2"/>
  <c r="O9" i="19" l="1"/>
  <c r="P9" i="19" s="1"/>
  <c r="O10" i="19"/>
  <c r="P10" i="19" s="1"/>
  <c r="P6" i="2"/>
  <c r="Q6" i="2" s="1"/>
  <c r="O8" i="19"/>
  <c r="P8" i="19" s="1"/>
  <c r="O7" i="19"/>
  <c r="P7" i="19" s="1"/>
  <c r="O6" i="19"/>
  <c r="P6" i="19" s="1"/>
  <c r="O5" i="19"/>
  <c r="P5" i="19" s="1"/>
  <c r="O3" i="19"/>
  <c r="P3" i="19" s="1"/>
  <c r="O4" i="19"/>
  <c r="P4" i="19" s="1"/>
  <c r="Q5" i="2"/>
  <c r="O2" i="19"/>
  <c r="P2" i="19" s="1"/>
  <c r="S2" i="19" l="1"/>
  <c r="T2" i="19" s="1"/>
  <c r="H2" i="19"/>
  <c r="H4" i="19"/>
  <c r="H6" i="19"/>
  <c r="H8" i="19"/>
  <c r="H10" i="19"/>
  <c r="H14" i="19"/>
  <c r="H3" i="19"/>
  <c r="H5" i="19"/>
  <c r="H7" i="19"/>
  <c r="H9" i="19"/>
  <c r="H11" i="19"/>
  <c r="H13" i="19"/>
  <c r="H12" i="19"/>
  <c r="AA14" i="19"/>
  <c r="K10" i="2" s="1"/>
  <c r="P13" i="2"/>
  <c r="P14" i="2" l="1"/>
  <c r="Q14" i="2" s="1"/>
  <c r="Q13" i="2"/>
  <c r="O11" i="2"/>
  <c r="O6" i="2"/>
  <c r="O7" i="2"/>
  <c r="O10" i="2"/>
  <c r="O15" i="2"/>
  <c r="O14" i="2"/>
  <c r="Y2" i="19" l="1"/>
  <c r="Z2" i="19" s="1"/>
  <c r="K2" i="19"/>
  <c r="K4" i="19"/>
  <c r="K6" i="19"/>
  <c r="K8" i="19"/>
  <c r="K10" i="19"/>
  <c r="K12" i="19"/>
  <c r="K14" i="19"/>
  <c r="K3" i="19"/>
  <c r="K5" i="19"/>
  <c r="K7" i="19"/>
  <c r="K9" i="19"/>
  <c r="K11" i="19"/>
  <c r="K13" i="19"/>
  <c r="Q21" i="2" l="1"/>
  <c r="O22" i="2"/>
</calcChain>
</file>

<file path=xl/sharedStrings.xml><?xml version="1.0" encoding="utf-8"?>
<sst xmlns="http://schemas.openxmlformats.org/spreadsheetml/2006/main" count="109" uniqueCount="80">
  <si>
    <t>Date</t>
  </si>
  <si>
    <t>BMI</t>
  </si>
  <si>
    <t>Underweight</t>
  </si>
  <si>
    <t>Normal</t>
  </si>
  <si>
    <t>Overweight</t>
  </si>
  <si>
    <t>Obese</t>
  </si>
  <si>
    <t>To Club10</t>
  </si>
  <si>
    <t>Weekly Average</t>
  </si>
  <si>
    <t>Monthly Average</t>
  </si>
  <si>
    <t>CLUB 10</t>
  </si>
  <si>
    <t>Current Award</t>
  </si>
  <si>
    <t xml:space="preserve">Start Details   </t>
  </si>
  <si>
    <t>Biggest Loss</t>
  </si>
  <si>
    <t>Current Weight</t>
  </si>
  <si>
    <t>Biggest Gain</t>
  </si>
  <si>
    <t>Current BMI</t>
  </si>
  <si>
    <t>Percentage Lost</t>
  </si>
  <si>
    <t>Percentage of Goal</t>
  </si>
  <si>
    <t>Total Lost to Date</t>
  </si>
  <si>
    <t>Interim Target 01</t>
  </si>
  <si>
    <t>Interim Target 02</t>
  </si>
  <si>
    <t>Weight in Pounds</t>
  </si>
  <si>
    <t>Weight Change</t>
  </si>
  <si>
    <t>Body Mass Index</t>
  </si>
  <si>
    <t>Minimum Healthy</t>
  </si>
  <si>
    <t>Maximum Healthy</t>
  </si>
  <si>
    <t>Weight in lbs</t>
  </si>
  <si>
    <t xml:space="preserve">Weight in st </t>
  </si>
  <si>
    <t>Rating</t>
  </si>
  <si>
    <t>Total Losses</t>
  </si>
  <si>
    <t>Total Gains</t>
  </si>
  <si>
    <t>Total Maintains</t>
  </si>
  <si>
    <t>Real Time Targets</t>
  </si>
  <si>
    <t>Start Date</t>
  </si>
  <si>
    <t>Height</t>
  </si>
  <si>
    <t>Start Weight</t>
  </si>
  <si>
    <t>Total Weight to Lose</t>
  </si>
  <si>
    <t>Weekly Loss Aim</t>
  </si>
  <si>
    <t>Monthly Loss Aim</t>
  </si>
  <si>
    <t>Aim BMI</t>
  </si>
  <si>
    <t>Start BMI</t>
  </si>
  <si>
    <t>Club10</t>
  </si>
  <si>
    <t>Final PAT</t>
  </si>
  <si>
    <t>PAT</t>
  </si>
  <si>
    <t>Maximum Weight</t>
  </si>
  <si>
    <t>Minimum Weight</t>
  </si>
  <si>
    <t>PTA</t>
  </si>
  <si>
    <t>Loss Total</t>
  </si>
  <si>
    <t>To Interim Target 01</t>
  </si>
  <si>
    <t>To Interim Target 02</t>
  </si>
  <si>
    <t>To Target</t>
  </si>
  <si>
    <t>Current milestone</t>
  </si>
  <si>
    <t xml:space="preserve">Today's Date </t>
  </si>
  <si>
    <t>Interim Target 1</t>
  </si>
  <si>
    <t>Interim Target 2</t>
  </si>
  <si>
    <t>Club 10</t>
  </si>
  <si>
    <t>P.T.A</t>
  </si>
  <si>
    <t>Weight - Stones</t>
  </si>
  <si>
    <t>Weight - Pounds</t>
  </si>
  <si>
    <t>Weight</t>
  </si>
  <si>
    <t>Interim Target 03</t>
  </si>
  <si>
    <t>Interim Target 04</t>
  </si>
  <si>
    <t>Interim Target 3</t>
  </si>
  <si>
    <t>Interim Target 4</t>
  </si>
  <si>
    <t>To Interim Target 3</t>
  </si>
  <si>
    <t>To Interim Target 4</t>
  </si>
  <si>
    <t>Inches</t>
  </si>
  <si>
    <t>Neck</t>
  </si>
  <si>
    <t>Chest</t>
  </si>
  <si>
    <t>Waist</t>
  </si>
  <si>
    <t>Hips</t>
  </si>
  <si>
    <t>Thigh</t>
  </si>
  <si>
    <t>Calf</t>
  </si>
  <si>
    <t>Bicept</t>
  </si>
  <si>
    <t>Wrist</t>
  </si>
  <si>
    <t>Column1</t>
  </si>
  <si>
    <t>How Often?</t>
  </si>
  <si>
    <t>Day</t>
  </si>
  <si>
    <t>Week</t>
  </si>
  <si>
    <t>Current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</si>
</sst>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[$-409]d\-mmm\-yy;@"/>
    <numFmt numFmtId="165" formatCode="mmmm"/>
    <numFmt numFmtId="166" formatCode="#&quot; inches&quot;"/>
    <numFmt numFmtId="167" formatCode="[$-809]d\ mmmm\ yyyy;@"/>
    <numFmt numFmtId="168" formatCode="0.0&quot; lbs&quot;"/>
    <numFmt numFmtId="169" formatCode="0&quot; lbs&quot;"/>
    <numFmt numFmtId="170" formatCode="[$-809]dd\ mmmm\ yyyy;@"/>
    <numFmt numFmtId="171" formatCode="0&quot; losses&quot;"/>
    <numFmt numFmtId="172" formatCode="0&quot; gains&quot;"/>
    <numFmt numFmtId="173" formatCode="0&quot; maintains&quot;"/>
    <numFmt numFmtId="174" formatCode="[$-F800]dddd\,\ mmmm\ dd\,\ yyyy"/>
    <numFmt numFmtId="175" formatCode="0&quot; st&quot;"/>
    <numFmt numFmtId="176" formatCode="0.\5&quot; lbs&quot;"/>
    <numFmt numFmtId="177" formatCode="#&quot; ft&quot;"/>
    <numFmt numFmtId="178" formatCode="&quot;Every &quot;\ 0\ &quot; weeks&quot;"/>
    <numFmt numFmtId="179" formatCode="#.0&quot; inches&quot;"/>
    <numFmt numFmtId="180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 Narrow"/>
      <family val="2"/>
    </font>
    <font>
      <u/>
      <sz val="12"/>
      <color indexed="12"/>
      <name val="Arial Narrow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EF9F4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7"/>
      </right>
      <top/>
      <bottom style="thin">
        <color theme="7"/>
      </bottom>
      <diagonal/>
    </border>
    <border>
      <left/>
      <right style="thin">
        <color theme="7"/>
      </right>
      <top/>
      <bottom style="medium">
        <color theme="7"/>
      </bottom>
      <diagonal/>
    </border>
    <border>
      <left/>
      <right style="thin">
        <color theme="7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/>
      <bottom style="medium">
        <color theme="7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69" fontId="0" fillId="4" borderId="1" xfId="0" applyNumberForma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9" fontId="0" fillId="0" borderId="0" xfId="0" applyNumberFormat="1" applyBorder="1" applyAlignment="1" applyProtection="1">
      <alignment horizontal="center" vertical="center"/>
    </xf>
    <xf numFmtId="169" fontId="0" fillId="0" borderId="0" xfId="0" applyNumberFormat="1" applyFill="1" applyBorder="1" applyAlignment="1" applyProtection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 applyProtection="1">
      <alignment horizontal="center" vertical="center"/>
    </xf>
    <xf numFmtId="2" fontId="0" fillId="0" borderId="0" xfId="0" applyNumberFormat="1" applyFill="1" applyBorder="1" applyAlignment="1" applyProtection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right" vertical="center" indent="1"/>
    </xf>
    <xf numFmtId="0" fontId="5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/>
    <xf numFmtId="14" fontId="0" fillId="5" borderId="16" xfId="0" applyNumberFormat="1" applyFont="1" applyFill="1" applyBorder="1" applyAlignment="1">
      <alignment horizontal="center" vertical="center"/>
    </xf>
    <xf numFmtId="14" fontId="0" fillId="5" borderId="22" xfId="0" applyNumberFormat="1" applyFont="1" applyFill="1" applyBorder="1" applyAlignment="1">
      <alignment horizontal="center" vertical="center"/>
    </xf>
    <xf numFmtId="14" fontId="0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</xf>
    <xf numFmtId="0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Protection="1"/>
    <xf numFmtId="0" fontId="8" fillId="0" borderId="0" xfId="0" applyFont="1" applyBorder="1" applyAlignment="1" applyProtection="1">
      <alignment horizontal="center" vertical="center"/>
    </xf>
    <xf numFmtId="0" fontId="7" fillId="0" borderId="19" xfId="0" applyFont="1" applyBorder="1" applyProtection="1"/>
    <xf numFmtId="0" fontId="7" fillId="0" borderId="20" xfId="0" applyFont="1" applyBorder="1" applyProtection="1"/>
    <xf numFmtId="49" fontId="8" fillId="0" borderId="19" xfId="0" applyNumberFormat="1" applyFont="1" applyBorder="1" applyAlignment="1" applyProtection="1">
      <alignment vertical="center"/>
    </xf>
    <xf numFmtId="49" fontId="8" fillId="0" borderId="0" xfId="0" applyNumberFormat="1" applyFont="1" applyBorder="1" applyAlignment="1" applyProtection="1">
      <alignment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vertical="center"/>
    </xf>
    <xf numFmtId="49" fontId="8" fillId="0" borderId="0" xfId="0" applyNumberFormat="1" applyFont="1" applyBorder="1" applyAlignment="1" applyProtection="1">
      <alignment horizontal="center" vertical="center"/>
    </xf>
    <xf numFmtId="0" fontId="7" fillId="0" borderId="0" xfId="0" applyFont="1" applyBorder="1" applyProtection="1"/>
    <xf numFmtId="0" fontId="8" fillId="0" borderId="1" xfId="0" applyFont="1" applyBorder="1" applyAlignment="1" applyProtection="1">
      <alignment horizontal="right" vertical="center" indent="1"/>
    </xf>
    <xf numFmtId="0" fontId="8" fillId="0" borderId="1" xfId="0" applyFont="1" applyBorder="1" applyAlignment="1" applyProtection="1">
      <alignment horizontal="right" vertical="center"/>
    </xf>
    <xf numFmtId="167" fontId="7" fillId="0" borderId="19" xfId="0" applyNumberFormat="1" applyFont="1" applyFill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right" vertical="center" indent="1"/>
    </xf>
    <xf numFmtId="168" fontId="7" fillId="4" borderId="7" xfId="0" applyNumberFormat="1" applyFont="1" applyFill="1" applyBorder="1" applyAlignment="1" applyProtection="1">
      <alignment horizontal="center" vertical="center"/>
    </xf>
    <xf numFmtId="1" fontId="7" fillId="4" borderId="4" xfId="0" applyNumberFormat="1" applyFont="1" applyFill="1" applyBorder="1" applyAlignment="1" applyProtection="1">
      <alignment horizontal="center" vertical="center"/>
    </xf>
    <xf numFmtId="166" fontId="7" fillId="4" borderId="9" xfId="0" applyNumberFormat="1" applyFont="1" applyFill="1" applyBorder="1" applyAlignment="1" applyProtection="1">
      <alignment horizontal="center" vertical="center"/>
    </xf>
    <xf numFmtId="177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right" vertical="center"/>
    </xf>
    <xf numFmtId="0" fontId="8" fillId="4" borderId="4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/>
    </xf>
    <xf numFmtId="168" fontId="7" fillId="4" borderId="9" xfId="0" applyNumberFormat="1" applyFont="1" applyFill="1" applyBorder="1" applyAlignment="1" applyProtection="1">
      <alignment horizontal="center" vertical="center"/>
    </xf>
    <xf numFmtId="175" fontId="7" fillId="2" borderId="3" xfId="0" applyNumberFormat="1" applyFont="1" applyFill="1" applyBorder="1" applyAlignment="1" applyProtection="1">
      <alignment horizontal="center" vertical="center"/>
      <protection locked="0"/>
    </xf>
    <xf numFmtId="168" fontId="7" fillId="2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right" vertical="center"/>
    </xf>
    <xf numFmtId="168" fontId="7" fillId="4" borderId="8" xfId="0" applyNumberFormat="1" applyFont="1" applyFill="1" applyBorder="1" applyAlignment="1" applyProtection="1">
      <alignment horizontal="center" vertical="center"/>
    </xf>
    <xf numFmtId="0" fontId="8" fillId="4" borderId="12" xfId="0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right" vertical="center" indent="1"/>
    </xf>
    <xf numFmtId="0" fontId="7" fillId="0" borderId="0" xfId="0" applyFont="1" applyBorder="1" applyAlignment="1" applyProtection="1">
      <alignment horizontal="left" vertical="center"/>
    </xf>
    <xf numFmtId="0" fontId="7" fillId="0" borderId="11" xfId="0" applyFont="1" applyBorder="1" applyProtection="1"/>
    <xf numFmtId="2" fontId="9" fillId="0" borderId="19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right" vertical="center" indent="1"/>
    </xf>
    <xf numFmtId="168" fontId="7" fillId="4" borderId="1" xfId="0" applyNumberFormat="1" applyFont="1" applyFill="1" applyBorder="1" applyAlignment="1" applyProtection="1">
      <alignment horizontal="center" vertical="center"/>
    </xf>
    <xf numFmtId="168" fontId="9" fillId="4" borderId="7" xfId="0" applyNumberFormat="1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175" fontId="7" fillId="2" borderId="1" xfId="0" applyNumberFormat="1" applyFont="1" applyFill="1" applyBorder="1" applyAlignment="1" applyProtection="1">
      <alignment horizontal="center" vertical="center"/>
      <protection locked="0"/>
    </xf>
    <xf numFmtId="168" fontId="7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9" xfId="0" applyFont="1" applyFill="1" applyBorder="1" applyAlignment="1" applyProtection="1">
      <alignment horizontal="center" vertical="center"/>
    </xf>
    <xf numFmtId="168" fontId="7" fillId="4" borderId="4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9" fontId="7" fillId="0" borderId="19" xfId="0" applyNumberFormat="1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right" vertical="center" indent="1"/>
    </xf>
    <xf numFmtId="175" fontId="7" fillId="2" borderId="10" xfId="0" applyNumberFormat="1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right" vertical="center" indent="1"/>
    </xf>
    <xf numFmtId="167" fontId="9" fillId="0" borderId="11" xfId="0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right" vertical="center" indent="1"/>
    </xf>
    <xf numFmtId="0" fontId="7" fillId="0" borderId="20" xfId="0" applyFont="1" applyFill="1" applyBorder="1" applyProtection="1"/>
    <xf numFmtId="0" fontId="8" fillId="0" borderId="8" xfId="0" applyFont="1" applyBorder="1" applyAlignment="1" applyProtection="1">
      <alignment horizontal="right" vertical="center" indent="1"/>
    </xf>
    <xf numFmtId="0" fontId="7" fillId="0" borderId="19" xfId="0" applyFont="1" applyFill="1" applyBorder="1" applyProtection="1"/>
    <xf numFmtId="0" fontId="7" fillId="0" borderId="0" xfId="0" applyFont="1" applyFill="1" applyBorder="1" applyProtection="1"/>
    <xf numFmtId="0" fontId="8" fillId="0" borderId="0" xfId="0" applyFont="1" applyFill="1" applyBorder="1" applyAlignment="1" applyProtection="1">
      <alignment horizontal="right" vertical="center" indent="1"/>
    </xf>
    <xf numFmtId="180" fontId="7" fillId="0" borderId="0" xfId="0" applyNumberFormat="1" applyFont="1" applyFill="1" applyBorder="1" applyAlignment="1" applyProtection="1">
      <alignment horizontal="center" vertical="center"/>
    </xf>
    <xf numFmtId="9" fontId="7" fillId="0" borderId="0" xfId="0" applyNumberFormat="1" applyFont="1" applyFill="1" applyBorder="1" applyAlignment="1" applyProtection="1">
      <alignment horizontal="center" vertical="center"/>
    </xf>
    <xf numFmtId="168" fontId="7" fillId="0" borderId="19" xfId="0" applyNumberFormat="1" applyFont="1" applyFill="1" applyBorder="1" applyAlignment="1" applyProtection="1">
      <alignment horizontal="center"/>
    </xf>
    <xf numFmtId="0" fontId="8" fillId="0" borderId="1" xfId="0" applyFont="1" applyBorder="1" applyAlignment="1" applyProtection="1">
      <alignment horizontal="right" indent="1"/>
    </xf>
    <xf numFmtId="176" fontId="7" fillId="0" borderId="19" xfId="0" applyNumberFormat="1" applyFont="1" applyFill="1" applyBorder="1" applyAlignment="1" applyProtection="1">
      <alignment horizontal="center"/>
    </xf>
    <xf numFmtId="0" fontId="8" fillId="0" borderId="9" xfId="0" applyFont="1" applyBorder="1" applyAlignment="1" applyProtection="1">
      <alignment horizontal="right" vertical="center" indent="1"/>
    </xf>
    <xf numFmtId="168" fontId="7" fillId="4" borderId="9" xfId="0" applyNumberFormat="1" applyFont="1" applyFill="1" applyBorder="1" applyAlignment="1" applyProtection="1">
      <alignment horizontal="left" vertical="center" indent="1"/>
    </xf>
    <xf numFmtId="0" fontId="7" fillId="0" borderId="0" xfId="0" applyFont="1" applyBorder="1" applyAlignment="1" applyProtection="1">
      <alignment horizontal="left" indent="1"/>
    </xf>
    <xf numFmtId="0" fontId="7" fillId="0" borderId="0" xfId="0" applyFont="1" applyFill="1" applyBorder="1" applyAlignment="1" applyProtection="1">
      <alignment horizontal="center" vertical="center"/>
    </xf>
    <xf numFmtId="168" fontId="7" fillId="0" borderId="19" xfId="0" applyNumberFormat="1" applyFont="1" applyFill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right" vertical="center" indent="1"/>
    </xf>
    <xf numFmtId="168" fontId="7" fillId="4" borderId="11" xfId="0" applyNumberFormat="1" applyFont="1" applyFill="1" applyBorder="1" applyAlignment="1" applyProtection="1">
      <alignment horizontal="center" vertical="center"/>
    </xf>
    <xf numFmtId="0" fontId="7" fillId="4" borderId="12" xfId="0" applyFont="1" applyFill="1" applyBorder="1" applyAlignment="1" applyProtection="1">
      <alignment horizontal="center" vertical="center"/>
    </xf>
    <xf numFmtId="171" fontId="7" fillId="4" borderId="7" xfId="0" applyNumberFormat="1" applyFont="1" applyFill="1" applyBorder="1" applyAlignment="1" applyProtection="1">
      <alignment horizontal="center" vertical="center"/>
    </xf>
    <xf numFmtId="172" fontId="7" fillId="4" borderId="7" xfId="0" applyNumberFormat="1" applyFont="1" applyFill="1" applyBorder="1" applyAlignment="1" applyProtection="1">
      <alignment horizontal="center" vertical="center"/>
    </xf>
    <xf numFmtId="165" fontId="9" fillId="0" borderId="19" xfId="0" applyNumberFormat="1" applyFont="1" applyBorder="1" applyAlignment="1" applyProtection="1">
      <alignment horizontal="left"/>
    </xf>
    <xf numFmtId="173" fontId="7" fillId="0" borderId="19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165" fontId="11" fillId="0" borderId="19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164" fontId="7" fillId="3" borderId="0" xfId="0" applyNumberFormat="1" applyFont="1" applyFill="1" applyBorder="1" applyAlignment="1" applyProtection="1">
      <alignment horizontal="center"/>
    </xf>
    <xf numFmtId="165" fontId="9" fillId="0" borderId="19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2" fontId="7" fillId="0" borderId="0" xfId="0" applyNumberFormat="1" applyFont="1" applyFill="1" applyBorder="1" applyAlignment="1" applyProtection="1"/>
    <xf numFmtId="174" fontId="7" fillId="0" borderId="19" xfId="0" applyNumberFormat="1" applyFont="1" applyFill="1" applyBorder="1" applyAlignment="1" applyProtection="1">
      <alignment horizontal="center" vertical="center"/>
    </xf>
    <xf numFmtId="2" fontId="7" fillId="4" borderId="0" xfId="0" applyNumberFormat="1" applyFont="1" applyFill="1" applyBorder="1" applyAlignment="1" applyProtection="1">
      <alignment horizontal="center"/>
    </xf>
    <xf numFmtId="0" fontId="7" fillId="3" borderId="0" xfId="0" applyNumberFormat="1" applyFont="1" applyFill="1" applyBorder="1" applyAlignment="1" applyProtection="1">
      <alignment horizontal="center"/>
    </xf>
    <xf numFmtId="174" fontId="7" fillId="0" borderId="19" xfId="0" applyNumberFormat="1" applyFont="1" applyFill="1" applyBorder="1" applyAlignment="1" applyProtection="1">
      <alignment horizontal="center"/>
    </xf>
    <xf numFmtId="0" fontId="10" fillId="0" borderId="19" xfId="0" applyFont="1" applyBorder="1" applyAlignment="1" applyProtection="1">
      <alignment horizontal="right" vertical="center" indent="1"/>
    </xf>
    <xf numFmtId="0" fontId="12" fillId="0" borderId="19" xfId="0" applyFont="1" applyBorder="1" applyProtection="1"/>
    <xf numFmtId="0" fontId="9" fillId="0" borderId="0" xfId="0" applyFont="1" applyBorder="1" applyProtection="1"/>
    <xf numFmtId="174" fontId="7" fillId="0" borderId="19" xfId="0" applyNumberFormat="1" applyFont="1" applyBorder="1" applyAlignment="1" applyProtection="1">
      <alignment horizontal="center"/>
    </xf>
    <xf numFmtId="0" fontId="8" fillId="0" borderId="19" xfId="0" applyFont="1" applyBorder="1" applyAlignment="1" applyProtection="1">
      <alignment horizontal="right" vertical="center" indent="1"/>
    </xf>
    <xf numFmtId="0" fontId="8" fillId="0" borderId="27" xfId="0" applyFont="1" applyBorder="1" applyAlignment="1" applyProtection="1">
      <alignment horizontal="right" vertical="center" indent="1"/>
    </xf>
    <xf numFmtId="0" fontId="7" fillId="0" borderId="24" xfId="0" applyFont="1" applyBorder="1" applyProtection="1"/>
    <xf numFmtId="0" fontId="7" fillId="0" borderId="25" xfId="0" applyFont="1" applyBorder="1" applyProtection="1"/>
    <xf numFmtId="0" fontId="7" fillId="0" borderId="26" xfId="0" applyFont="1" applyBorder="1" applyProtection="1"/>
    <xf numFmtId="0" fontId="13" fillId="0" borderId="0" xfId="0" applyFont="1" applyBorder="1" applyProtection="1"/>
    <xf numFmtId="0" fontId="14" fillId="0" borderId="0" xfId="0" applyFont="1" applyFill="1" applyBorder="1" applyProtection="1"/>
    <xf numFmtId="168" fontId="13" fillId="0" borderId="0" xfId="0" applyNumberFormat="1" applyFont="1" applyBorder="1" applyProtection="1"/>
    <xf numFmtId="0" fontId="12" fillId="0" borderId="0" xfId="0" applyFont="1" applyProtection="1"/>
    <xf numFmtId="49" fontId="15" fillId="0" borderId="17" xfId="0" applyNumberFormat="1" applyFont="1" applyFill="1" applyBorder="1" applyAlignment="1" applyProtection="1">
      <alignment horizontal="center" vertical="center" wrapText="1"/>
    </xf>
    <xf numFmtId="0" fontId="15" fillId="0" borderId="17" xfId="0" applyFont="1" applyFill="1" applyBorder="1" applyAlignment="1" applyProtection="1">
      <alignment horizontal="center" vertical="center" wrapText="1"/>
      <protection locked="0"/>
    </xf>
    <xf numFmtId="168" fontId="11" fillId="0" borderId="17" xfId="0" applyNumberFormat="1" applyFont="1" applyFill="1" applyBorder="1" applyAlignment="1" applyProtection="1">
      <alignment horizontal="center" vertical="center" wrapText="1"/>
    </xf>
    <xf numFmtId="168" fontId="15" fillId="0" borderId="17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</xf>
    <xf numFmtId="14" fontId="7" fillId="5" borderId="16" xfId="0" applyNumberFormat="1" applyFont="1" applyFill="1" applyBorder="1" applyAlignment="1" applyProtection="1">
      <alignment horizontal="center" vertical="center"/>
    </xf>
    <xf numFmtId="0" fontId="7" fillId="5" borderId="16" xfId="0" applyNumberFormat="1" applyFont="1" applyFill="1" applyBorder="1" applyAlignment="1" applyProtection="1">
      <alignment horizontal="center" vertical="center"/>
      <protection locked="0"/>
    </xf>
    <xf numFmtId="168" fontId="7" fillId="5" borderId="16" xfId="0" applyNumberFormat="1" applyFont="1" applyFill="1" applyBorder="1" applyAlignment="1" applyProtection="1">
      <alignment horizontal="center" vertical="center"/>
    </xf>
    <xf numFmtId="2" fontId="7" fillId="5" borderId="16" xfId="0" applyNumberFormat="1" applyFont="1" applyFill="1" applyBorder="1" applyAlignment="1" applyProtection="1">
      <alignment horizontal="center" vertical="center"/>
    </xf>
    <xf numFmtId="14" fontId="7" fillId="0" borderId="16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  <protection locked="0"/>
    </xf>
    <xf numFmtId="168" fontId="7" fillId="0" borderId="16" xfId="0" applyNumberFormat="1" applyFont="1" applyFill="1" applyBorder="1" applyAlignment="1" applyProtection="1">
      <alignment horizontal="center" vertical="center"/>
    </xf>
    <xf numFmtId="2" fontId="7" fillId="0" borderId="16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Protection="1"/>
    <xf numFmtId="14" fontId="7" fillId="5" borderId="18" xfId="0" applyNumberFormat="1" applyFont="1" applyFill="1" applyBorder="1" applyAlignment="1" applyProtection="1">
      <alignment horizontal="center" vertical="center"/>
    </xf>
    <xf numFmtId="0" fontId="7" fillId="5" borderId="18" xfId="0" applyNumberFormat="1" applyFont="1" applyFill="1" applyBorder="1" applyAlignment="1" applyProtection="1">
      <alignment horizontal="center" vertical="center"/>
      <protection locked="0"/>
    </xf>
    <xf numFmtId="168" fontId="7" fillId="5" borderId="18" xfId="0" applyNumberFormat="1" applyFont="1" applyFill="1" applyBorder="1" applyAlignment="1" applyProtection="1">
      <alignment horizontal="center" vertical="center"/>
    </xf>
    <xf numFmtId="2" fontId="7" fillId="5" borderId="18" xfId="0" applyNumberFormat="1" applyFont="1" applyFill="1" applyBorder="1" applyAlignment="1" applyProtection="1">
      <alignment horizontal="center" vertical="center"/>
    </xf>
    <xf numFmtId="14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168" fontId="7" fillId="0" borderId="0" xfId="0" applyNumberFormat="1" applyFont="1" applyFill="1" applyBorder="1" applyAlignment="1" applyProtection="1">
      <alignment horizontal="center" vertical="center"/>
    </xf>
    <xf numFmtId="2" fontId="7" fillId="0" borderId="0" xfId="0" applyNumberFormat="1" applyFont="1" applyFill="1" applyBorder="1" applyAlignment="1" applyProtection="1">
      <alignment horizontal="center" vertical="center"/>
    </xf>
    <xf numFmtId="0" fontId="15" fillId="0" borderId="23" xfId="0" applyFont="1" applyFill="1" applyBorder="1" applyAlignment="1" applyProtection="1">
      <alignment horizontal="center" vertical="center" wrapText="1"/>
    </xf>
    <xf numFmtId="0" fontId="7" fillId="5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5" borderId="32" xfId="0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/>
    </xf>
    <xf numFmtId="179" fontId="7" fillId="2" borderId="28" xfId="0" applyNumberFormat="1" applyFont="1" applyFill="1" applyBorder="1" applyAlignment="1" applyProtection="1">
      <alignment horizontal="center" vertical="center"/>
      <protection locked="0"/>
    </xf>
    <xf numFmtId="179" fontId="7" fillId="2" borderId="29" xfId="0" applyNumberFormat="1" applyFont="1" applyFill="1" applyBorder="1" applyAlignment="1" applyProtection="1">
      <alignment horizontal="center" vertical="center"/>
      <protection locked="0"/>
    </xf>
    <xf numFmtId="179" fontId="7" fillId="2" borderId="30" xfId="0" applyNumberFormat="1" applyFont="1" applyFill="1" applyBorder="1" applyAlignment="1" applyProtection="1">
      <alignment horizontal="center" vertical="center"/>
      <protection locked="0"/>
    </xf>
    <xf numFmtId="179" fontId="7" fillId="2" borderId="7" xfId="0" applyNumberFormat="1" applyFont="1" applyFill="1" applyBorder="1" applyAlignment="1" applyProtection="1">
      <alignment horizontal="center" vertical="center"/>
      <protection locked="0"/>
    </xf>
    <xf numFmtId="179" fontId="7" fillId="2" borderId="6" xfId="0" applyNumberFormat="1" applyFont="1" applyFill="1" applyBorder="1" applyAlignment="1" applyProtection="1">
      <alignment horizontal="center" vertical="center"/>
      <protection locked="0"/>
    </xf>
    <xf numFmtId="179" fontId="7" fillId="2" borderId="4" xfId="0" applyNumberFormat="1" applyFont="1" applyFill="1" applyBorder="1" applyAlignment="1" applyProtection="1">
      <alignment horizontal="center" vertical="center"/>
      <protection locked="0"/>
    </xf>
    <xf numFmtId="178" fontId="7" fillId="2" borderId="9" xfId="0" applyNumberFormat="1" applyFont="1" applyFill="1" applyBorder="1" applyAlignment="1" applyProtection="1">
      <alignment horizontal="center" vertical="center"/>
      <protection locked="0"/>
    </xf>
    <xf numFmtId="178" fontId="7" fillId="2" borderId="13" xfId="0" applyNumberFormat="1" applyFont="1" applyFill="1" applyBorder="1" applyAlignment="1" applyProtection="1">
      <alignment horizontal="center" vertical="center"/>
      <protection locked="0"/>
    </xf>
    <xf numFmtId="178" fontId="7" fillId="2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 wrapText="1"/>
    </xf>
    <xf numFmtId="167" fontId="7" fillId="4" borderId="7" xfId="0" applyNumberFormat="1" applyFont="1" applyFill="1" applyBorder="1" applyAlignment="1" applyProtection="1">
      <alignment horizontal="center" vertical="center"/>
    </xf>
    <xf numFmtId="167" fontId="7" fillId="4" borderId="6" xfId="0" applyNumberFormat="1" applyFont="1" applyFill="1" applyBorder="1" applyAlignment="1" applyProtection="1">
      <alignment horizontal="center" vertical="center"/>
    </xf>
    <xf numFmtId="167" fontId="7" fillId="4" borderId="4" xfId="0" applyNumberFormat="1" applyFont="1" applyFill="1" applyBorder="1" applyAlignment="1" applyProtection="1">
      <alignment horizontal="center" vertical="center"/>
    </xf>
    <xf numFmtId="2" fontId="7" fillId="4" borderId="7" xfId="0" applyNumberFormat="1" applyFont="1" applyFill="1" applyBorder="1" applyAlignment="1" applyProtection="1">
      <alignment horizontal="center"/>
    </xf>
    <xf numFmtId="2" fontId="7" fillId="4" borderId="6" xfId="0" applyNumberFormat="1" applyFont="1" applyFill="1" applyBorder="1" applyAlignment="1" applyProtection="1">
      <alignment horizontal="center"/>
    </xf>
    <xf numFmtId="2" fontId="7" fillId="4" borderId="4" xfId="0" applyNumberFormat="1" applyFont="1" applyFill="1" applyBorder="1" applyAlignment="1" applyProtection="1">
      <alignment horizontal="center"/>
    </xf>
    <xf numFmtId="168" fontId="7" fillId="4" borderId="7" xfId="0" applyNumberFormat="1" applyFont="1" applyFill="1" applyBorder="1" applyAlignment="1" applyProtection="1">
      <alignment horizontal="center" vertical="center" wrapText="1"/>
    </xf>
    <xf numFmtId="168" fontId="7" fillId="4" borderId="6" xfId="0" applyNumberFormat="1" applyFont="1" applyFill="1" applyBorder="1" applyAlignment="1" applyProtection="1">
      <alignment horizontal="center" vertical="center"/>
    </xf>
    <xf numFmtId="168" fontId="7" fillId="4" borderId="4" xfId="0" applyNumberFormat="1" applyFont="1" applyFill="1" applyBorder="1" applyAlignment="1" applyProtection="1">
      <alignment horizontal="center" vertical="center"/>
    </xf>
    <xf numFmtId="174" fontId="7" fillId="4" borderId="7" xfId="0" applyNumberFormat="1" applyFont="1" applyFill="1" applyBorder="1" applyAlignment="1" applyProtection="1">
      <alignment horizontal="center" vertical="center"/>
    </xf>
    <xf numFmtId="174" fontId="7" fillId="4" borderId="4" xfId="0" applyNumberFormat="1" applyFont="1" applyFill="1" applyBorder="1" applyAlignment="1" applyProtection="1">
      <alignment horizontal="center" vertical="center"/>
    </xf>
    <xf numFmtId="168" fontId="7" fillId="4" borderId="7" xfId="0" applyNumberFormat="1" applyFont="1" applyFill="1" applyBorder="1" applyAlignment="1" applyProtection="1">
      <alignment horizontal="center"/>
    </xf>
    <xf numFmtId="168" fontId="7" fillId="4" borderId="4" xfId="0" applyNumberFormat="1" applyFont="1" applyFill="1" applyBorder="1" applyAlignment="1" applyProtection="1">
      <alignment horizontal="center"/>
    </xf>
    <xf numFmtId="168" fontId="7" fillId="4" borderId="27" xfId="0" applyNumberFormat="1" applyFont="1" applyFill="1" applyBorder="1" applyAlignment="1" applyProtection="1">
      <alignment horizontal="center" vertical="center"/>
    </xf>
    <xf numFmtId="168" fontId="7" fillId="4" borderId="31" xfId="0" applyNumberFormat="1" applyFont="1" applyFill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7" fillId="4" borderId="1" xfId="0" applyNumberFormat="1" applyFont="1" applyFill="1" applyBorder="1" applyAlignment="1" applyProtection="1">
      <alignment horizontal="left" vertical="center" indent="1"/>
    </xf>
    <xf numFmtId="173" fontId="7" fillId="4" borderId="7" xfId="0" applyNumberFormat="1" applyFont="1" applyFill="1" applyBorder="1" applyAlignment="1" applyProtection="1">
      <alignment horizontal="center"/>
    </xf>
    <xf numFmtId="173" fontId="7" fillId="4" borderId="4" xfId="0" applyNumberFormat="1" applyFont="1" applyFill="1" applyBorder="1" applyAlignment="1" applyProtection="1">
      <alignment horizontal="center"/>
    </xf>
    <xf numFmtId="168" fontId="7" fillId="4" borderId="7" xfId="0" applyNumberFormat="1" applyFont="1" applyFill="1" applyBorder="1" applyAlignment="1" applyProtection="1">
      <alignment horizontal="center" vertical="center"/>
    </xf>
    <xf numFmtId="174" fontId="7" fillId="4" borderId="7" xfId="0" applyNumberFormat="1" applyFont="1" applyFill="1" applyBorder="1" applyAlignment="1" applyProtection="1">
      <alignment horizontal="center"/>
    </xf>
    <xf numFmtId="174" fontId="7" fillId="4" borderId="4" xfId="0" applyNumberFormat="1" applyFont="1" applyFill="1" applyBorder="1" applyAlignment="1" applyProtection="1">
      <alignment horizontal="center"/>
    </xf>
    <xf numFmtId="2" fontId="9" fillId="4" borderId="1" xfId="0" applyNumberFormat="1" applyFont="1" applyFill="1" applyBorder="1" applyAlignment="1" applyProtection="1">
      <alignment horizontal="center" vertical="center"/>
    </xf>
    <xf numFmtId="167" fontId="9" fillId="4" borderId="8" xfId="0" applyNumberFormat="1" applyFont="1" applyFill="1" applyBorder="1" applyAlignment="1" applyProtection="1">
      <alignment horizontal="center" vertical="center"/>
    </xf>
    <xf numFmtId="167" fontId="9" fillId="4" borderId="12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2" fontId="7" fillId="4" borderId="14" xfId="0" applyNumberFormat="1" applyFont="1" applyFill="1" applyBorder="1" applyAlignment="1" applyProtection="1">
      <alignment horizontal="center"/>
    </xf>
    <xf numFmtId="2" fontId="7" fillId="4" borderId="15" xfId="0" applyNumberFormat="1" applyFont="1" applyFill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 vertical="center"/>
    </xf>
    <xf numFmtId="170" fontId="7" fillId="2" borderId="7" xfId="0" applyNumberFormat="1" applyFont="1" applyFill="1" applyBorder="1" applyAlignment="1" applyProtection="1">
      <alignment horizontal="center" vertical="center"/>
      <protection locked="0"/>
    </xf>
    <xf numFmtId="170" fontId="7" fillId="2" borderId="6" xfId="0" applyNumberFormat="1" applyFont="1" applyFill="1" applyBorder="1" applyAlignment="1" applyProtection="1">
      <alignment horizontal="center" vertical="center"/>
      <protection locked="0"/>
    </xf>
    <xf numFmtId="170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4" borderId="7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/>
    <xf numFmtId="0" fontId="7" fillId="4" borderId="4" xfId="0" applyFont="1" applyFill="1" applyBorder="1" applyAlignment="1" applyProtection="1"/>
    <xf numFmtId="168" fontId="7" fillId="2" borderId="7" xfId="0" applyNumberFormat="1" applyFont="1" applyFill="1" applyBorder="1" applyAlignment="1" applyProtection="1">
      <alignment horizontal="center" vertical="center"/>
      <protection locked="0"/>
    </xf>
    <xf numFmtId="168" fontId="7" fillId="2" borderId="6" xfId="0" applyNumberFormat="1" applyFont="1" applyFill="1" applyBorder="1" applyAlignment="1" applyProtection="1">
      <alignment horizontal="center" vertical="center"/>
      <protection locked="0"/>
    </xf>
    <xf numFmtId="168" fontId="7" fillId="2" borderId="4" xfId="0" applyNumberFormat="1" applyFont="1" applyFill="1" applyBorder="1" applyAlignment="1" applyProtection="1">
      <alignment horizontal="center" vertical="center"/>
      <protection locked="0"/>
    </xf>
    <xf numFmtId="180" fontId="7" fillId="4" borderId="10" xfId="0" applyNumberFormat="1" applyFont="1" applyFill="1" applyBorder="1" applyAlignment="1" applyProtection="1">
      <alignment horizontal="center" vertical="center"/>
    </xf>
    <xf numFmtId="180" fontId="7" fillId="4" borderId="1" xfId="0" applyNumberFormat="1" applyFont="1" applyFill="1" applyBorder="1" applyAlignment="1" applyProtection="1">
      <alignment horizontal="center" vertical="center"/>
    </xf>
    <xf numFmtId="49" fontId="8" fillId="0" borderId="6" xfId="0" applyNumberFormat="1" applyFont="1" applyBorder="1" applyAlignment="1" applyProtection="1">
      <alignment horizontal="center" vertical="center"/>
    </xf>
    <xf numFmtId="167" fontId="8" fillId="4" borderId="7" xfId="0" applyNumberFormat="1" applyFont="1" applyFill="1" applyBorder="1" applyAlignment="1" applyProtection="1">
      <alignment horizontal="center" vertical="center"/>
    </xf>
    <xf numFmtId="167" fontId="8" fillId="4" borderId="4" xfId="0" applyNumberFormat="1" applyFont="1" applyFill="1" applyBorder="1" applyAlignment="1" applyProtection="1">
      <alignment horizontal="center" vertical="center"/>
    </xf>
    <xf numFmtId="2" fontId="9" fillId="4" borderId="7" xfId="0" applyNumberFormat="1" applyFont="1" applyFill="1" applyBorder="1" applyAlignment="1" applyProtection="1">
      <alignment horizontal="center" vertical="center"/>
    </xf>
    <xf numFmtId="2" fontId="9" fillId="4" borderId="4" xfId="0" applyNumberFormat="1" applyFont="1" applyFill="1" applyBorder="1" applyAlignment="1" applyProtection="1">
      <alignment horizontal="center" vertical="center"/>
    </xf>
    <xf numFmtId="0" fontId="5" fillId="0" borderId="6" xfId="0" applyFont="1" applyBorder="1" applyAlignment="1">
      <alignment horizontal="center"/>
    </xf>
  </cellXfs>
  <cellStyles count="3">
    <cellStyle name="Hyperlink 2" xfId="2"/>
    <cellStyle name="Normal" xfId="0" builtinId="0"/>
    <cellStyle name="Normal 2" xfId="1"/>
  </cellStyles>
  <dxfs count="114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 style="thin">
          <color theme="7"/>
        </bottom>
      </border>
    </dxf>
    <dxf>
      <border outline="0">
        <left style="thin">
          <color rgb="FF000000"/>
        </left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theme="7"/>
        </left>
        <right style="thin">
          <color theme="7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2" formatCode="0.00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0" formatCode="General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0" formatCode="General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border diagonalUp="0" diagonalDown="0" outline="0">
        <left/>
        <right style="thin">
          <color theme="7"/>
        </right>
        <top/>
        <bottom style="thin">
          <color theme="7"/>
        </bottom>
      </border>
      <protection locked="1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168" formatCode="0.0&quot; lbs&quot;"/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relativeIndent="0" justifyLastLine="0" shrinkToFit="0" readingOrder="0"/>
      <protection locked="1" hidden="0"/>
    </dxf>
    <dxf>
      <border outline="0">
        <bottom style="medium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4.9989318521683403E-2"/>
        <name val="Calibri"/>
        <scheme val="minor"/>
      </font>
      <numFmt numFmtId="168" formatCode="0.0&quot; lbs&quot;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/>
        <bottom/>
      </border>
      <protection locked="1" hidden="0"/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color rgb="FFFF0000"/>
      </font>
    </dxf>
    <dxf>
      <font>
        <color rgb="FF00CC00"/>
      </font>
    </dxf>
    <dxf>
      <font>
        <color theme="9" tint="-0.24994659260841701"/>
      </font>
    </dxf>
    <dxf>
      <font>
        <color rgb="FFFF0000"/>
      </font>
    </dxf>
    <dxf>
      <font>
        <color rgb="FF00CC00"/>
      </font>
    </dxf>
    <dxf>
      <font>
        <color rgb="FFFF0000"/>
      </font>
    </dxf>
    <dxf>
      <font>
        <b/>
        <i val="0"/>
      </font>
    </dxf>
    <dxf>
      <fill>
        <patternFill>
          <fgColor theme="5" tint="0.79998168889431442"/>
        </patternFill>
      </fill>
    </dxf>
    <dxf>
      <fill>
        <patternFill>
          <fgColor theme="5" tint="0.39994506668294322"/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 style="thin">
          <color auto="1"/>
        </vertical>
        <horizontal/>
      </border>
    </dxf>
  </dxfs>
  <tableStyles count="1" defaultTableStyle="TableStyleMedium9" defaultPivotStyle="PivotStyleLight16">
    <tableStyle name="SW" pivot="0" count="4">
      <tableStyleElement type="wholeTable" dxfId="113"/>
      <tableStyleElement type="headerRow" dxfId="112"/>
      <tableStyleElement type="firstRowStripe" dxfId="111"/>
      <tableStyleElement type="secondRowStripe" dxfId="110"/>
    </tableStyle>
  </tableStyles>
  <colors>
    <mruColors>
      <color rgb="FF75FE6A"/>
      <color rgb="FFDA942E"/>
      <color rgb="FF00CC00"/>
      <color rgb="FFFEF9F4"/>
      <color rgb="FFC0C0C0"/>
      <color rgb="FFF2F2F2"/>
      <color rgb="FFEF3603"/>
      <color rgb="FFFF2F2F"/>
      <color rgb="FF9E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SWRecord" displayName="SWRecord" ref="A1:AA14" totalsRowShown="0" headerRowDxfId="42" dataDxfId="40" headerRowBorderDxfId="41" tableBorderDxfId="39">
  <autoFilter ref="A1:AA14"/>
  <tableColumns count="27">
    <tableColumn id="1" name="Date" dataDxfId="38">
      <calculatedColumnFormula>IF(ISERROR(D2),"",A1+7)</calculatedColumnFormula>
    </tableColumn>
    <tableColumn id="2" name="Weight - Stones" dataDxfId="37"/>
    <tableColumn id="3" name="Weight - Pounds" dataDxfId="36"/>
    <tableColumn id="4" name="Weight in Pounds" dataDxfId="35">
      <calculatedColumnFormula>IF(B2="",NA(),(B2*14)+C2)</calculatedColumnFormula>
    </tableColumn>
    <tableColumn id="5" name="Weight" dataDxfId="34">
      <calculatedColumnFormula>IF(ISERROR(D2),"",D2)</calculatedColumnFormula>
    </tableColumn>
    <tableColumn id="6" name="Club10" dataDxfId="33">
      <calculatedColumnFormula>IF(Dashboard!$E$9="","",Dashboard!$E$9)</calculatedColumnFormula>
    </tableColumn>
    <tableColumn id="7" name="Interim Target 01" dataDxfId="32">
      <calculatedColumnFormula>IF(Dashboard!$E$10="","",Dashboard!$E$10)</calculatedColumnFormula>
    </tableColumn>
    <tableColumn id="8" name="Interim Target 02" dataDxfId="31">
      <calculatedColumnFormula>IF(Dashboard!$E$11="","",Dashboard!$E$11)</calculatedColumnFormula>
    </tableColumn>
    <tableColumn id="28" name="Interim Target 03" dataDxfId="30">
      <calculatedColumnFormula>IF(Dashboard!$E$12="","",Dashboard!$E$12)</calculatedColumnFormula>
    </tableColumn>
    <tableColumn id="29" name="Interim Target 04" dataDxfId="29">
      <calculatedColumnFormula>IF(Dashboard!$E$13="","",Dashboard!$E$13)</calculatedColumnFormula>
    </tableColumn>
    <tableColumn id="9" name="PTA" dataDxfId="28">
      <calculatedColumnFormula>IF(Dashboard!$E$14="","",Dashboard!$E$14)</calculatedColumnFormula>
    </tableColumn>
    <tableColumn id="10" name="Weight Change" dataDxfId="27">
      <calculatedColumnFormula>IF(ISERROR(D2),"",D2-D1)</calculatedColumnFormula>
    </tableColumn>
    <tableColumn id="11" name="Loss Total" dataDxfId="26">
      <calculatedColumnFormula>IF(B2="","",$D$2-D2)</calculatedColumnFormula>
    </tableColumn>
    <tableColumn id="12" name="BMI" dataDxfId="25">
      <calculatedColumnFormula>IF(ISERROR(D2),"",(D2*703)/(Dashboard!$E$6*Dashboard!$E$6))</calculatedColumnFormula>
    </tableColumn>
    <tableColumn id="13" name="To Club10" dataDxfId="24">
      <calculatedColumnFormula>IF(ISERROR(D2),"",IF(D2&lt;=Dashboard!$P$5,"Club10 Achieved!",(Dashboard!$P$5-D2)*-1))</calculatedColumnFormula>
    </tableColumn>
    <tableColumn id="14" name="Club 10" dataDxfId="23">
      <calculatedColumnFormula>IF(O2="","",IF(O2="Club10 Achieved!","Club10 Achieved!",CONCATENATE(ROUNDDOWN(O2/14,0)," st ",MOD(O2,14)," lbs")))</calculatedColumnFormula>
    </tableColumn>
    <tableColumn id="15" name="To Interim Target 01" dataDxfId="22">
      <calculatedColumnFormula>IF(Dashboard!$E$10="","",IF(ISERROR(D2),"",IF($D2&gt;Dashboard!$E$10,$D2-Dashboard!$E$10,IF($D2="","","Target 1 ACHIEVED!"))))</calculatedColumnFormula>
    </tableColumn>
    <tableColumn id="16" name="Interim Target 1" dataDxfId="21">
      <calculatedColumnFormula>IF(Q2="","",IF(Q2="Target 1 ACHIEVED!","Target 1 ACHIEVED!",CONCATENATE(ROUNDDOWN(Q2/14,0)," st ",MOD(Q2,14)," lbs")))</calculatedColumnFormula>
    </tableColumn>
    <tableColumn id="17" name="To Interim Target 02" dataDxfId="20">
      <calculatedColumnFormula>IF(ISERROR(D2),"",IF(Dashboard!$E$11="","",IF($D2&gt;Dashboard!$E$11,$D2-Dashboard!$E$11,IF($D2="","","Target 2 ACHIEVED!"))))</calculatedColumnFormula>
    </tableColumn>
    <tableColumn id="18" name="Interim Target 2" dataDxfId="19">
      <calculatedColumnFormula>IF(S2="","",IF(S2="Target 2 ACHIEVED!","Target 2 ACHIEVED!",CONCATENATE(ROUNDDOWN(S2/14,0)," st ",MOD(S2,14)," lbs")))</calculatedColumnFormula>
    </tableColumn>
    <tableColumn id="23" name="To Interim Target 3" dataDxfId="18">
      <calculatedColumnFormula>IF(Dashboard!$E$12="","",IF(ISERROR(D2),"",IF($D2&gt;Dashboard!$E$12,$D2-Dashboard!$E$12,IF($D2="","","Target 3 ACHIEVED!"))))</calculatedColumnFormula>
    </tableColumn>
    <tableColumn id="26" name="Interim Target 3" dataDxfId="17">
      <calculatedColumnFormula>IF(U2="","",IF(U2="Target 3 ACHIEVED!","Target 3 ACHIEVED!",CONCATENATE(ROUNDDOWN(U2/14,0)," st ",MOD(U2,14)," lbs")))</calculatedColumnFormula>
    </tableColumn>
    <tableColumn id="24" name="To Interim Target 4" dataDxfId="16">
      <calculatedColumnFormula>IF(Dashboard!$E$13="","",IF(ISERROR(D2),"",IF($D2&gt;Dashboard!$E$13,$D2-Dashboard!$E$13,IF($D2="","","Target 4 ACHIEVED!"))))</calculatedColumnFormula>
    </tableColumn>
    <tableColumn id="27" name="Interim Target 4" dataDxfId="15">
      <calculatedColumnFormula>IF(W2="","",IF(W2="Target 4 ACHIEVED!","Target 4 ACHIEVED!",CONCATENATE(ROUNDDOWN(W2/14,0)," st ",MOD(W2,14)," lbs")))</calculatedColumnFormula>
    </tableColumn>
    <tableColumn id="19" name="To Target" dataDxfId="14">
      <calculatedColumnFormula>IF(ISERROR(D2),"",IF(Dashboard!$E$14="","",IF($D2&gt;Dashboard!$E$14,$D2-Dashboard!$E$14,IF($D2="","","Target ACHIEVED!"))))</calculatedColumnFormula>
    </tableColumn>
    <tableColumn id="20" name="P.T.A" dataDxfId="13">
      <calculatedColumnFormula>IF(Y2="","",IF(Y2="Target ACHIEVED!","Target ACHIEVED!",CONCATENATE(ROUNDDOWN(Y2/14,0)," st ",MOD(Y2,14)," lbs")))</calculatedColumnFormula>
    </tableColumn>
    <tableColumn id="21" name="Current milestone" dataDxfId="12">
      <calculatedColumnFormula>IF((AND(M2&lt;=202.5,M2&gt;=196)),"14 STONE",
 IF((AND(M2&lt;=195.5,M2&gt;=189)),"13.5 STONE",
 IF((AND(M2&lt;=188.5,M2&gt;=182)),"13 STONE",
 IF((AND(M2&lt;=181.5,M2&gt;=175)),"12.5 STONE",
 IF((AND(M2&lt;=174.5,M2&gt;=168)),"12 STONE",
 IF((AND(M2&lt;=167.5,M2&gt;=161)),"11.5 STONE",
 IF((AND(M2&lt;=160.5,M2&gt;=154)),"11 STONE",
 IF((AND(M2&lt;=153.5,M2&gt;=147)),"10.5 STONE",
 IF((AND(M2&lt;=146.5,M2&gt;=140)),"10 STONE",
 IF((AND(M2&lt;=139.5,M2&gt;=133)),"9.5 STONE",
 IF((AND(M2&lt;=132.5,M2&gt;=126)),"9 STONE",
 IF((AND(M2&lt;=125.5,M2&gt;=119)),"8.5 STONE",
 IF((AND(M2&lt;=118.5,M2&gt;=112)),"8 STONE",
 IF((AND(M2&lt;=111.5,M2&gt;=105)),"7.5 STONE",
 IF((AND(M2&lt;=104.5,M2&gt;=98)),"7 STONE",
 IF((AND(M2&lt;=97.5,M2&gt;=91)),"6.5 STONE",
 IF((AND(M2&lt;=90.5,M2&gt;=84)),"6 STONE",
 IF((AND(M2&lt;=83.5,M2&gt;=77)),"5.5 STONE",
 IF((AND(M2&lt;=76.5,M2&gt;=70)),"5 STONE",
 IF((AND(M2&lt;=69.5,M2&gt;=63)),"4.5 STONE",
 IF((AND(M2&lt;=62.5,M2&gt;=56)),"4 STONE",
 IF((AND(M2&lt;=55.5,M2&gt;=49)),"3.5 STONE",
 IF((AND(M2&lt;=48.5,M2&gt;=42)),"3 STONE",
 IF((AND(M2&lt;=41.5,M2&gt;=35)),"2.5 STONE",
 IF((AND(M2&lt;=34.5,M2&gt;=28)),"2 STONE",
 IF((AND(M2&lt;=27.5,M2&gt;=21)),"1.5 STONE",
 IF((AND(M2&lt;=20.5,M2&gt;=14)),"1 STONE",
 IF((AND(M2&lt;=13.5,M2&gt;=7)),"0.5 STONE",
 IF((AND(M2&lt;=6.5,M2&gt;=0)),"",
 "")))))))))))))))))))))))))))))</calculatedColumnFormula>
    </tableColumn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2:I11" totalsRowShown="0" headerRowDxfId="11" dataDxfId="10" tableBorderDxfId="9">
  <autoFilter ref="A2:I11"/>
  <tableColumns count="9">
    <tableColumn id="1" name="Column1" dataDxfId="8">
      <calculatedColumnFormula>IF(ISERROR(D3),"",A2+7)</calculatedColumnFormula>
    </tableColumn>
    <tableColumn id="2" name="Neck" dataDxfId="7">
      <calculatedColumnFormula>IF(Dashboard!$E$35="","",Dashboard!$E$35)</calculatedColumnFormula>
    </tableColumn>
    <tableColumn id="3" name="Chest" dataDxfId="6">
      <calculatedColumnFormula>IF(Dashboard!$E$36="","",Dashboard!$E$36)</calculatedColumnFormula>
    </tableColumn>
    <tableColumn id="4" name="Bicept" dataDxfId="5">
      <calculatedColumnFormula>IF(Dashboard!$E$37="","",Dashboard!$E$37)</calculatedColumnFormula>
    </tableColumn>
    <tableColumn id="5" name="Wrist" dataDxfId="4">
      <calculatedColumnFormula>IF(Dashboard!$E$38="","",Dashboard!$E$38)</calculatedColumnFormula>
    </tableColumn>
    <tableColumn id="7" name="Hips" dataDxfId="3">
      <calculatedColumnFormula>IF(Dashboard!$E$39="","",Dashboard!$E$39)</calculatedColumnFormula>
    </tableColumn>
    <tableColumn id="8" name="Thigh" dataDxfId="2">
      <calculatedColumnFormula>IF(Dashboard!$E$40="","",Dashboard!$E$40)</calculatedColumnFormula>
    </tableColumn>
    <tableColumn id="9" name="Calf" dataDxfId="1">
      <calculatedColumnFormula>IF(Dashboard!$E$41="","",Dashboard!$E$41)</calculatedColumnFormula>
    </tableColumn>
    <tableColumn id="6" name="Waist" dataDxfId="0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X61"/>
  <sheetViews>
    <sheetView showGridLines="0" tabSelected="1" zoomScaleNormal="100" workbookViewId="0">
      <selection activeCell="K19" sqref="K19"/>
    </sheetView>
  </sheetViews>
  <sheetFormatPr defaultRowHeight="12" x14ac:dyDescent="0.2"/>
  <cols>
    <col min="1" max="1" width="1.85546875" style="37" customWidth="1"/>
    <col min="2" max="3" width="2.140625" style="37" customWidth="1"/>
    <col min="4" max="4" width="21.5703125" style="37" customWidth="1"/>
    <col min="5" max="5" width="9.85546875" style="37" bestFit="1" customWidth="1"/>
    <col min="6" max="6" width="5" style="37" bestFit="1" customWidth="1"/>
    <col min="7" max="7" width="7.5703125" style="37" bestFit="1" customWidth="1"/>
    <col min="8" max="9" width="2.140625" style="37" customWidth="1"/>
    <col min="10" max="10" width="23" style="37" bestFit="1" customWidth="1"/>
    <col min="11" max="11" width="16.5703125" style="37" customWidth="1"/>
    <col min="12" max="12" width="12.28515625" style="37" bestFit="1" customWidth="1"/>
    <col min="13" max="14" width="2.140625" style="37" customWidth="1"/>
    <col min="15" max="15" width="20.7109375" style="37" customWidth="1"/>
    <col min="16" max="17" width="12.85546875" style="37" customWidth="1"/>
    <col min="18" max="19" width="2.140625" style="37" customWidth="1"/>
    <col min="20" max="20" width="16.85546875" style="37" customWidth="1"/>
    <col min="21" max="21" width="11" style="37" customWidth="1"/>
    <col min="22" max="22" width="9.140625" style="37"/>
    <col min="23" max="23" width="6.7109375" style="37" customWidth="1"/>
    <col min="24" max="16384" width="9.140625" style="37"/>
  </cols>
  <sheetData>
    <row r="1" spans="3:18" ht="7.5" customHeight="1" x14ac:dyDescent="0.2"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3:18" ht="7.5" customHeight="1" x14ac:dyDescent="0.2">
      <c r="D2" s="195"/>
      <c r="E2" s="195"/>
      <c r="F2" s="38"/>
      <c r="G2" s="38"/>
      <c r="H2" s="39"/>
      <c r="M2" s="39"/>
      <c r="R2" s="39"/>
    </row>
    <row r="3" spans="3:18" x14ac:dyDescent="0.2">
      <c r="C3" s="40"/>
      <c r="D3" s="208" t="s">
        <v>11</v>
      </c>
      <c r="E3" s="208"/>
      <c r="F3" s="208"/>
      <c r="G3" s="208"/>
      <c r="H3" s="41"/>
      <c r="I3" s="42"/>
      <c r="J3" s="182" t="s">
        <v>79</v>
      </c>
      <c r="K3" s="182"/>
      <c r="L3" s="182"/>
      <c r="M3" s="43"/>
      <c r="O3" s="182" t="s">
        <v>32</v>
      </c>
      <c r="P3" s="182"/>
      <c r="Q3" s="182"/>
      <c r="R3" s="44"/>
    </row>
    <row r="4" spans="3:18" ht="15" customHeight="1" x14ac:dyDescent="0.2">
      <c r="C4" s="40"/>
      <c r="D4" s="42"/>
      <c r="E4" s="45"/>
      <c r="F4" s="45"/>
      <c r="G4" s="45"/>
      <c r="H4" s="41"/>
      <c r="I4" s="42"/>
      <c r="J4" s="46"/>
      <c r="K4" s="46"/>
      <c r="L4" s="46"/>
      <c r="M4" s="39"/>
      <c r="O4" s="46"/>
      <c r="P4" s="46"/>
      <c r="R4" s="39"/>
    </row>
    <row r="5" spans="3:18" x14ac:dyDescent="0.2">
      <c r="C5" s="40"/>
      <c r="D5" s="47" t="s">
        <v>33</v>
      </c>
      <c r="E5" s="196"/>
      <c r="F5" s="197"/>
      <c r="G5" s="198"/>
      <c r="H5" s="39"/>
      <c r="I5" s="46"/>
      <c r="J5" s="48" t="s">
        <v>52</v>
      </c>
      <c r="K5" s="209"/>
      <c r="L5" s="210"/>
      <c r="M5" s="49"/>
      <c r="O5" s="50" t="s">
        <v>9</v>
      </c>
      <c r="P5" s="51" t="str">
        <f>IF(E9="","",E9)</f>
        <v/>
      </c>
      <c r="Q5" s="52" t="str">
        <f>IF(P5="","",CONCATENATE(ROUNDDOWN(P5/14,0), " st ", MOD(P5,14), " lbs"))</f>
        <v/>
      </c>
      <c r="R5" s="39"/>
    </row>
    <row r="6" spans="3:18" x14ac:dyDescent="0.2">
      <c r="C6" s="40"/>
      <c r="D6" s="50" t="s">
        <v>34</v>
      </c>
      <c r="E6" s="53" t="str">
        <f>IF(F6="","",((F6*12)+G6))</f>
        <v/>
      </c>
      <c r="F6" s="54"/>
      <c r="G6" s="55">
        <v>0</v>
      </c>
      <c r="H6" s="39"/>
      <c r="I6" s="46"/>
      <c r="J6" s="56" t="s">
        <v>13</v>
      </c>
      <c r="K6" s="51" t="str">
        <f>IF(Dashboard!E7="","",INDEX('Weight Record'!$D$2:$D$14,MATCH(9.99999999999999E+307,'Weight Record'!$D$2:$D$14)))</f>
        <v/>
      </c>
      <c r="L6" s="57" t="str">
        <f>IF(K6="","",CONCATENATE(ROUNDDOWN(K6/14,0), " st ", MOD(K6,14), " lbs"))</f>
        <v/>
      </c>
      <c r="M6" s="58"/>
      <c r="O6" s="47" t="str">
        <f>IF(Dashboard!K6&lt;=E9,"","lbs to go")</f>
        <v/>
      </c>
      <c r="P6" s="51" t="str">
        <f>IF($D$55=FALSE,"", IF($K$6&lt;= P5, "Achieved",$K$6-P5))</f>
        <v/>
      </c>
      <c r="Q6" s="52" t="str">
        <f>IF(P6="","",IF(K6&lt;=P5,"Club10",CONCATENATE(ROUNDDOWN(P6/14,0), " st ", MOD(P6,14), " lbs")))</f>
        <v/>
      </c>
      <c r="R6" s="39"/>
    </row>
    <row r="7" spans="3:18" x14ac:dyDescent="0.2">
      <c r="C7" s="40"/>
      <c r="D7" s="50" t="s">
        <v>35</v>
      </c>
      <c r="E7" s="59" t="str">
        <f>IF(F7="","",IF(G7="","",((F7*14)+G7)))</f>
        <v/>
      </c>
      <c r="F7" s="60"/>
      <c r="G7" s="61">
        <v>9.5</v>
      </c>
      <c r="H7" s="39"/>
      <c r="I7" s="46"/>
      <c r="J7" s="62" t="s">
        <v>18</v>
      </c>
      <c r="K7" s="63">
        <f>SUBTOTAL(109,SWRecord[Weight Change])*-1</f>
        <v>0</v>
      </c>
      <c r="L7" s="64" t="str">
        <f>IF(K7="","",CONCATENATE(ROUNDDOWN(K7/14,0), " st ", MOD(K7,14), " lbs"))</f>
        <v>0 st 0 lbs</v>
      </c>
      <c r="M7" s="58"/>
      <c r="O7" s="47" t="str">
        <f>IF(P5="","Predicted Date",IF(Dashboard!K6&lt;=E9,"Date Achieved","Predicted Date"))</f>
        <v>Predicted Date</v>
      </c>
      <c r="P7" s="167" t="str">
        <f>IF(E5="","",IF(E7="","",IF(E9="","",IF(Dashboard!K15="",E21,IF(Dashboard!K6&lt;=P5,INDEX('Weight Record'!$A:$A,MATCH("Club10 Achieved!",'Weight Record'!$O:$O,0)),K5+(K6-E9)/K15*7)))))</f>
        <v/>
      </c>
      <c r="Q7" s="169"/>
      <c r="R7" s="39"/>
    </row>
    <row r="8" spans="3:18" ht="15" customHeight="1" x14ac:dyDescent="0.2">
      <c r="C8" s="40"/>
      <c r="D8" s="65"/>
      <c r="E8" s="66"/>
      <c r="F8" s="66"/>
      <c r="G8" s="66"/>
      <c r="H8" s="39"/>
      <c r="I8" s="46"/>
      <c r="J8" s="67"/>
      <c r="K8" s="67"/>
      <c r="L8" s="67"/>
      <c r="M8" s="68"/>
      <c r="R8" s="39"/>
    </row>
    <row r="9" spans="3:18" ht="15" customHeight="1" x14ac:dyDescent="0.2">
      <c r="C9" s="40"/>
      <c r="D9" s="69" t="s">
        <v>41</v>
      </c>
      <c r="E9" s="70" t="str">
        <f>IF(E7="","",ROUNDUP(E7-(E7/10),0.5))</f>
        <v/>
      </c>
      <c r="F9" s="199" t="str">
        <f>IF(E9="","",CONCATENATE(ROUNDDOWN(E9/14,0), " st     ", MOD(E9,14), " lbs"))</f>
        <v/>
      </c>
      <c r="G9" s="200"/>
      <c r="H9" s="39"/>
      <c r="I9" s="46"/>
      <c r="J9" s="47" t="s">
        <v>15</v>
      </c>
      <c r="K9" s="211" t="str">
        <f>IF(Dashboard!D55=FALSE,"",LOOKUP(9.9999999999999+307,'Weight Record'!$N:$N))</f>
        <v/>
      </c>
      <c r="L9" s="212"/>
      <c r="M9" s="68"/>
      <c r="O9" s="50" t="s">
        <v>19</v>
      </c>
      <c r="P9" s="71" t="str">
        <f>IF(E10="","",E10)</f>
        <v/>
      </c>
      <c r="Q9" s="72" t="str">
        <f>IF(P9="","",CONCATENATE(ROUNDDOWN(P9/14,0), " st ", MOD(P9,14), " lbs"))</f>
        <v/>
      </c>
      <c r="R9" s="39"/>
    </row>
    <row r="10" spans="3:18" ht="15" customHeight="1" x14ac:dyDescent="0.2">
      <c r="C10" s="40"/>
      <c r="D10" s="50" t="s">
        <v>19</v>
      </c>
      <c r="E10" s="70" t="str">
        <f>IF(F10="","",((F10*14)+G10))</f>
        <v/>
      </c>
      <c r="F10" s="73"/>
      <c r="G10" s="74">
        <v>7</v>
      </c>
      <c r="H10" s="39"/>
      <c r="I10" s="46"/>
      <c r="J10" s="47" t="s">
        <v>10</v>
      </c>
      <c r="K10" s="189" t="str">
        <f>IF(Dashboard!D55=FALSE,"",IF(Dashboard!E7-K6&lt;7,"",LOOKUP(2,1/('Weight Record'!AA2:AA65465&lt;&gt;""),'Weight Record'!AA2:AA65465)))</f>
        <v/>
      </c>
      <c r="L10" s="189"/>
      <c r="M10" s="75"/>
      <c r="O10" s="47" t="str">
        <f>IF(Dashboard!K6&lt;=P9,"","lbs to go")</f>
        <v/>
      </c>
      <c r="P10" s="51" t="str">
        <f>IF(D55=FALSE,"", IF($K$6&lt;= P9, "Achieved", $K$6-P9))</f>
        <v/>
      </c>
      <c r="Q10" s="76" t="str">
        <f>IF(P10="","",IF($K$6 &lt;= P9,"Target 1",CONCATENATE(ROUNDDOWN(P10/14,0)," st ",MOD(P10,14)," lbs")))</f>
        <v/>
      </c>
      <c r="R10" s="39"/>
    </row>
    <row r="11" spans="3:18" ht="15" customHeight="1" x14ac:dyDescent="0.2">
      <c r="C11" s="40"/>
      <c r="D11" s="50" t="s">
        <v>20</v>
      </c>
      <c r="E11" s="70" t="str">
        <f>IF(F11="","",((F11*14)+G11))</f>
        <v/>
      </c>
      <c r="F11" s="73"/>
      <c r="G11" s="74">
        <v>0</v>
      </c>
      <c r="H11" s="39"/>
      <c r="I11" s="46"/>
      <c r="J11" s="65"/>
      <c r="K11" s="77"/>
      <c r="L11" s="77"/>
      <c r="M11" s="78"/>
      <c r="O11" s="79" t="str">
        <f>IF(P9="","Predicted Date",IF(Dashboard!K6&lt;=P9,"Date Achieved","Predicted Date"))</f>
        <v>Predicted Date</v>
      </c>
      <c r="P11" s="190" t="str">
        <f>IF(E5="","",IF(E7="","",IF(E9="","",IF(Dashboard!K15="",E22,IF(Dashboard!K6&lt;=P9,INDEX('Weight Record'!$A:$A,MATCH("Target 1 ACHIEVED!",'Weight Record'!$Q:$Q,0)),K5+(K6-E10)/K15*7)))))</f>
        <v/>
      </c>
      <c r="Q11" s="191"/>
      <c r="R11" s="39"/>
    </row>
    <row r="12" spans="3:18" ht="15" customHeight="1" x14ac:dyDescent="0.2">
      <c r="C12" s="40"/>
      <c r="D12" s="50" t="s">
        <v>60</v>
      </c>
      <c r="E12" s="70" t="str">
        <f t="shared" ref="E12:E13" si="0">IF(F12="","",((F12*14)+G12))</f>
        <v/>
      </c>
      <c r="F12" s="80"/>
      <c r="G12" s="74">
        <v>7</v>
      </c>
      <c r="H12" s="39"/>
      <c r="I12" s="46"/>
      <c r="J12" s="79" t="s">
        <v>16</v>
      </c>
      <c r="K12" s="206" t="str">
        <f>IF(Dashboard!E7="","",(K7/Dashboard!E7))</f>
        <v/>
      </c>
      <c r="L12" s="206"/>
      <c r="M12" s="78"/>
      <c r="O12" s="81"/>
      <c r="P12" s="82"/>
      <c r="Q12" s="82"/>
      <c r="R12" s="39"/>
    </row>
    <row r="13" spans="3:18" ht="15" customHeight="1" x14ac:dyDescent="0.2">
      <c r="C13" s="40"/>
      <c r="D13" s="50" t="s">
        <v>61</v>
      </c>
      <c r="E13" s="70" t="str">
        <f t="shared" si="0"/>
        <v/>
      </c>
      <c r="F13" s="80"/>
      <c r="G13" s="74">
        <v>0</v>
      </c>
      <c r="H13" s="39"/>
      <c r="I13" s="46"/>
      <c r="J13" s="83" t="s">
        <v>17</v>
      </c>
      <c r="K13" s="207" t="str">
        <f>IF(Dashboard!E16="","",(ROUNDDOWN(K7/Dashboard!E16,3)))</f>
        <v/>
      </c>
      <c r="L13" s="207"/>
      <c r="M13" s="78"/>
      <c r="O13" s="50" t="s">
        <v>20</v>
      </c>
      <c r="P13" s="51" t="str">
        <f>IF(E11="","",E11)</f>
        <v/>
      </c>
      <c r="Q13" s="72" t="str">
        <f>IF(P13="","",CONCATENATE(ROUNDDOWN(P13/14,0), " st ", MOD(P13,14), " lbs"))</f>
        <v/>
      </c>
      <c r="R13" s="39"/>
    </row>
    <row r="14" spans="3:18" s="87" customFormat="1" x14ac:dyDescent="0.2">
      <c r="C14" s="84"/>
      <c r="D14" s="85" t="s">
        <v>42</v>
      </c>
      <c r="E14" s="70" t="str">
        <f>IF(F14="","",((F14*14)+G14))</f>
        <v/>
      </c>
      <c r="F14" s="80"/>
      <c r="G14" s="74">
        <v>2</v>
      </c>
      <c r="H14" s="86"/>
      <c r="J14" s="88"/>
      <c r="K14" s="89"/>
      <c r="L14" s="90"/>
      <c r="M14" s="91"/>
      <c r="O14" s="47" t="str">
        <f>IF(Dashboard!K6&lt;=P13,"","lbs to go")</f>
        <v/>
      </c>
      <c r="P14" s="51" t="str">
        <f>IF(D55=FALSE,"", IF($K$6&lt;= P13, "Achieved", $K$6-P13))</f>
        <v/>
      </c>
      <c r="Q14" s="76" t="str">
        <f>IF(P14="","", IF($K$6 &lt;= P13,"Target 2",CONCATENATE(ROUNDDOWN(P14/14,0)," st ",MOD(P14,14)," lbs")))</f>
        <v/>
      </c>
      <c r="R14" s="86"/>
    </row>
    <row r="15" spans="3:18" x14ac:dyDescent="0.2">
      <c r="C15" s="40"/>
      <c r="D15" s="166" t="str">
        <f>IF(E14="","",IF(OR(E14&lt;'BMI Info'!D8, E14&gt;'BMI Info'!D9), "For a healthy BMI choose a PTA between "&amp;'BMI Info'!E8 &amp;" and "&amp;'BMI Info'!E9," "))</f>
        <v/>
      </c>
      <c r="E15" s="166"/>
      <c r="F15" s="166"/>
      <c r="G15" s="166"/>
      <c r="H15" s="39"/>
      <c r="I15" s="46"/>
      <c r="J15" s="92" t="s">
        <v>7</v>
      </c>
      <c r="K15" s="178" t="str">
        <f>IF( 'Weight Record'!E3="","",(ROUND( SUBTOTAL(101,SWRecord[Weight Change])/0.5,0)*0.5)*-1)</f>
        <v/>
      </c>
      <c r="L15" s="179"/>
      <c r="M15" s="93"/>
      <c r="O15" s="47" t="str">
        <f>IF(P13="","Predicted Date",IF(Dashboard!K6&lt;=P13,"Date Achieved","Predicted Date"))</f>
        <v>Predicted Date</v>
      </c>
      <c r="P15" s="167" t="str">
        <f>IF(E5="","",IF(E7="","",IF(E11="","",IF(Dashboard!K15="",E23,IF(Dashboard!K6&lt;=P13,INDEX('Weight Record'!$A:$A,MATCH("Target 2 ACHIEVED!",'Weight Record'!$T:$T,0)),K5+(K6-E11)/K15*7)))))</f>
        <v/>
      </c>
      <c r="Q15" s="169"/>
      <c r="R15" s="39"/>
    </row>
    <row r="16" spans="3:18" ht="12.75" thickBot="1" x14ac:dyDescent="0.25">
      <c r="C16" s="40"/>
      <c r="D16" s="94" t="s">
        <v>36</v>
      </c>
      <c r="E16" s="95" t="str">
        <f>IF(E7="","",IF(E14="","", E7-E14))</f>
        <v/>
      </c>
      <c r="F16" s="201" t="str">
        <f>IF(E16="","",CONCATENATE(ROUNDDOWN(E16/14,0), " st    ", MOD(E16,14), " lbs"))</f>
        <v/>
      </c>
      <c r="G16" s="202"/>
      <c r="H16" s="39"/>
      <c r="I16" s="46"/>
      <c r="J16" s="92" t="s">
        <v>8</v>
      </c>
      <c r="K16" s="180" t="str">
        <f>IF(K15="","",((K15*52)/12))</f>
        <v/>
      </c>
      <c r="L16" s="181"/>
      <c r="M16" s="58"/>
      <c r="R16" s="39"/>
    </row>
    <row r="17" spans="3:19" ht="15" customHeight="1" x14ac:dyDescent="0.2">
      <c r="C17" s="40"/>
      <c r="D17" s="65"/>
      <c r="E17" s="96"/>
      <c r="F17" s="96"/>
      <c r="G17" s="96"/>
      <c r="H17" s="39"/>
      <c r="I17" s="46"/>
      <c r="J17" s="65"/>
      <c r="K17" s="97"/>
      <c r="L17" s="97"/>
      <c r="M17" s="98"/>
      <c r="O17" s="99" t="s">
        <v>60</v>
      </c>
      <c r="P17" s="100" t="str">
        <f>IF(E12="","", E12)</f>
        <v/>
      </c>
      <c r="Q17" s="101" t="str">
        <f>IF(P17="","",CONCATENATE(ROUNDDOWN(P17/14,0), " st ", MOD(P17,14), " lbs"))</f>
        <v/>
      </c>
      <c r="R17" s="39"/>
    </row>
    <row r="18" spans="3:19" ht="15" customHeight="1" x14ac:dyDescent="0.2">
      <c r="C18" s="40"/>
      <c r="D18" s="50" t="s">
        <v>37</v>
      </c>
      <c r="E18" s="203"/>
      <c r="F18" s="204"/>
      <c r="G18" s="205"/>
      <c r="H18" s="39"/>
      <c r="I18" s="46"/>
      <c r="J18" s="47" t="s">
        <v>12</v>
      </c>
      <c r="K18" s="186" t="str">
        <f>IF('Weight Record'!L3="","Keep Going!",(SUBTOTAL(5, SWRecord[Weight Change])*-1))</f>
        <v>Keep Going!</v>
      </c>
      <c r="L18" s="175"/>
      <c r="M18" s="98"/>
      <c r="O18" s="47" t="str">
        <f>IF(Dashboard!K6&lt;=P17,"","lbs to go")</f>
        <v/>
      </c>
      <c r="P18" s="51" t="str">
        <f>IF(D55=FALSE,"", IF($K$6&lt;=P17, "Achieved", $K$6-P17))</f>
        <v/>
      </c>
      <c r="Q18" s="76" t="str">
        <f>IF(P17="","",IF($K$6&lt;=P17,"Target 3",CONCATENATE(ROUNDDOWN(P18/14,0), " st ", MOD(P18,14), " lbs")))</f>
        <v/>
      </c>
      <c r="R18" s="39"/>
    </row>
    <row r="19" spans="3:19" ht="15" customHeight="1" x14ac:dyDescent="0.2">
      <c r="C19" s="40"/>
      <c r="D19" s="50" t="s">
        <v>38</v>
      </c>
      <c r="E19" s="173" t="str">
        <f>IF(E18="","", ROUND(((E18*52)/12)/0.5,0)*0.5)</f>
        <v/>
      </c>
      <c r="F19" s="174"/>
      <c r="G19" s="175"/>
      <c r="H19" s="39"/>
      <c r="I19" s="46"/>
      <c r="J19" s="92" t="s">
        <v>29</v>
      </c>
      <c r="K19" s="102">
        <f>COUNTIF(SWRecord[Weight Change],"&lt;0")</f>
        <v>0</v>
      </c>
      <c r="L19" s="76">
        <f>IF(K18="","",SUMIF(SWRecord[Weight Change],"&lt;0")*-1)</f>
        <v>0</v>
      </c>
      <c r="M19" s="86"/>
      <c r="O19" s="47" t="str">
        <f>IF(P17="","Predicted Date",IF(Dashboard!K6&lt;=P17,"Date Achieved","Predicted Date"))</f>
        <v>Predicted Date</v>
      </c>
      <c r="P19" s="167" t="str">
        <f>IF(E5="","",IF(E7="","",IF(E12="","",IF(Dashboard!K15="",E24,IF(Dashboard!K6&lt;=P17,INDEX('Weight Record'!$A:$A,MATCH("Target 3 ACHIEVED!",'Weight Record'!$V:$V,0)),K5+(K6-E12)/K15*7)))))</f>
        <v/>
      </c>
      <c r="Q19" s="169"/>
      <c r="R19" s="39"/>
    </row>
    <row r="20" spans="3:19" ht="15" customHeight="1" x14ac:dyDescent="0.2">
      <c r="C20" s="40"/>
      <c r="H20" s="39"/>
      <c r="I20" s="46"/>
      <c r="M20" s="98"/>
      <c r="R20" s="39"/>
    </row>
    <row r="21" spans="3:19" ht="15" customHeight="1" x14ac:dyDescent="0.2">
      <c r="C21" s="40"/>
      <c r="D21" s="69" t="s">
        <v>41</v>
      </c>
      <c r="E21" s="167" t="str">
        <f>IF(E5="","",IF(E7="","",IF(E9="","",IF(E18="","",E5+(E7-E9)/E18*7))))</f>
        <v/>
      </c>
      <c r="F21" s="168"/>
      <c r="G21" s="169"/>
      <c r="H21" s="39"/>
      <c r="I21" s="46"/>
      <c r="J21" s="47" t="s">
        <v>14</v>
      </c>
      <c r="K21" s="186" t="str">
        <f>IF(SUBTOTAL(4,SWRecord[Weight Change])&lt;=0,"None!",SUBTOTAL(4,SWRecord[Weight Change]))</f>
        <v>None!</v>
      </c>
      <c r="L21" s="175"/>
      <c r="M21" s="98"/>
      <c r="O21" s="99" t="s">
        <v>61</v>
      </c>
      <c r="P21" s="100" t="str">
        <f>IF(E13="","", E13)</f>
        <v/>
      </c>
      <c r="Q21" s="101" t="str">
        <f>IF(P21="","",CONCATENATE(ROUNDDOWN(P21/14,0), " st ", MOD(P21,14), " lbs"))</f>
        <v/>
      </c>
      <c r="R21" s="39"/>
    </row>
    <row r="22" spans="3:19" x14ac:dyDescent="0.2">
      <c r="C22" s="40"/>
      <c r="D22" s="47" t="s">
        <v>19</v>
      </c>
      <c r="E22" s="167" t="str">
        <f>IF(E5="","",IF(E7="","",IF(E10="","",IF(E18="","",E5+(E7-E10)/E18*7))))</f>
        <v/>
      </c>
      <c r="F22" s="168"/>
      <c r="G22" s="169"/>
      <c r="H22" s="39"/>
      <c r="I22" s="46"/>
      <c r="J22" s="47" t="s">
        <v>30</v>
      </c>
      <c r="K22" s="103">
        <f>COUNTIF(SWRecord[Weight Change],"&gt;0")</f>
        <v>0</v>
      </c>
      <c r="L22" s="76">
        <f>IF(K18="","",SUMIF(SWRecord[Weight Change],"&gt;0"))</f>
        <v>0</v>
      </c>
      <c r="M22" s="86"/>
      <c r="O22" s="47" t="str">
        <f>IF(Dashboard!K6&lt;=P21,"","lbs to go")</f>
        <v/>
      </c>
      <c r="P22" s="51" t="str">
        <f>IF($D$55=FALSE,"", IF($K$6&lt;= P21, "Achieved", $K$6-P21))</f>
        <v/>
      </c>
      <c r="Q22" s="76" t="str">
        <f>IF(P21="","",IF($K$6&lt;=P21,"Target 4",CONCATENATE(ROUNDDOWN(P22/14,0), " st ", MOD(P22,14), " lbs")))</f>
        <v/>
      </c>
      <c r="R22" s="104"/>
    </row>
    <row r="23" spans="3:19" ht="15" customHeight="1" x14ac:dyDescent="0.2">
      <c r="C23" s="40"/>
      <c r="D23" s="47" t="s">
        <v>20</v>
      </c>
      <c r="E23" s="167" t="str">
        <f>IF(E5="","",IF(E7="","",IF(E11="","",IF(E18="","",E5+(E7-E11)/E18*7))))</f>
        <v/>
      </c>
      <c r="F23" s="168"/>
      <c r="G23" s="169"/>
      <c r="H23" s="39"/>
      <c r="I23" s="46"/>
      <c r="M23" s="105"/>
      <c r="O23" s="47" t="str">
        <f>IF(P21="","Predicted Date",IF(Dashboard!K6&lt;=P21,"Date Achieved","Predicted Date"))</f>
        <v>Predicted Date</v>
      </c>
      <c r="P23" s="167" t="str">
        <f>IF(E5="","",IF(E7="","",IF(E13="","",IF(Dashboard!K15="",E25,IF(Dashboard!K6&lt;=P21,INDEX('Weight Record'!$A:$A,MATCH("Target 4 ACHIEVED!",'Weight Record'!$X:$X,0)),K5+(K6-E13)/K15*7)))))</f>
        <v/>
      </c>
      <c r="Q23" s="169"/>
      <c r="R23" s="43"/>
    </row>
    <row r="24" spans="3:19" ht="15" customHeight="1" x14ac:dyDescent="0.2">
      <c r="C24" s="40"/>
      <c r="D24" s="47" t="s">
        <v>60</v>
      </c>
      <c r="E24" s="167" t="str">
        <f>IF(E5="","",IF(E7="","",IF(E12="","",IF(E18="","",E5+(E7-E12)/E18*7))))</f>
        <v/>
      </c>
      <c r="F24" s="168"/>
      <c r="G24" s="169"/>
      <c r="H24" s="39"/>
      <c r="I24" s="46"/>
      <c r="J24" s="92" t="s">
        <v>31</v>
      </c>
      <c r="K24" s="184">
        <f>COUNTIF(SWRecord[Weight Change],"=0")</f>
        <v>1</v>
      </c>
      <c r="L24" s="185"/>
      <c r="M24" s="86"/>
      <c r="R24" s="86"/>
    </row>
    <row r="25" spans="3:19" ht="15" customHeight="1" x14ac:dyDescent="0.2">
      <c r="C25" s="40"/>
      <c r="D25" s="47" t="s">
        <v>61</v>
      </c>
      <c r="E25" s="167" t="str">
        <f>IF(E5="","",IF(E7="","",IF(E13="","",IF(E18="","",E5+(E7-E13)/E18*7))))</f>
        <v/>
      </c>
      <c r="F25" s="168"/>
      <c r="G25" s="169"/>
      <c r="H25" s="39"/>
      <c r="I25" s="46"/>
      <c r="M25" s="58"/>
      <c r="N25" s="106"/>
      <c r="O25" s="47" t="s">
        <v>43</v>
      </c>
      <c r="P25" s="100" t="str">
        <f>IF(E14="","", E14)</f>
        <v/>
      </c>
      <c r="Q25" s="101" t="str">
        <f>IF(P25="","",CONCATENATE(ROUNDDOWN(P25/14,0), " st ", MOD(P25,14), " lbs"))</f>
        <v/>
      </c>
      <c r="R25" s="107"/>
    </row>
    <row r="26" spans="3:19" ht="15" customHeight="1" x14ac:dyDescent="0.2">
      <c r="C26" s="40"/>
      <c r="D26" s="47" t="s">
        <v>42</v>
      </c>
      <c r="E26" s="167" t="str">
        <f>IF(E5="","",IF(E7="","",IF(E14="","",IF(E18="","",E5+(E7-E14)/E18*7))))</f>
        <v/>
      </c>
      <c r="F26" s="168"/>
      <c r="G26" s="169"/>
      <c r="H26" s="39"/>
      <c r="I26" s="46"/>
      <c r="J26" s="47" t="s">
        <v>44</v>
      </c>
      <c r="K26" s="70" t="str">
        <f>IF(Dashboard!E7="","",SUBTOTAL(104,'Weight Record'!$E$2:$E$14))</f>
        <v/>
      </c>
      <c r="L26" s="108" t="str">
        <f>IF(K26="","",CONCATENATE(ROUNDDOWN(K26/14,0), " st ", MOD(K26,14), " lbs"))</f>
        <v/>
      </c>
      <c r="M26" s="86"/>
      <c r="N26" s="109"/>
      <c r="O26" s="47" t="str">
        <f>IF(Dashboard!K6&lt;=P25,"","lbs to go")</f>
        <v/>
      </c>
      <c r="P26" s="51" t="str">
        <f>IF($D$55=FALSE,"", IF($K$6&lt;= P25, "Achieved", $K$6-P25))</f>
        <v/>
      </c>
      <c r="Q26" s="76" t="str">
        <f>IF(P25="","",IF($K$6&lt;=P25,"PTA",CONCATENATE(ROUNDDOWN(P26/14,0), " st ", MOD(P26,14), " lbs")))</f>
        <v/>
      </c>
      <c r="R26" s="110"/>
    </row>
    <row r="27" spans="3:19" ht="15" hidden="1" customHeight="1" x14ac:dyDescent="0.2">
      <c r="C27" s="40"/>
      <c r="D27" s="88"/>
      <c r="E27" s="111"/>
      <c r="F27" s="111"/>
      <c r="G27" s="111"/>
      <c r="H27" s="39"/>
      <c r="I27" s="46"/>
      <c r="J27" s="47" t="s">
        <v>44</v>
      </c>
      <c r="K27" s="70" t="str">
        <f>IF(E7="","",SUBTOTAL(104,'Weight Record'!$E$2:$E$14))</f>
        <v/>
      </c>
      <c r="L27" s="108" t="str">
        <f>IF(K27="","",CONCATENATE(ROUNDDOWN(K27/14,0), " st ", MOD(K27,14), " lbs"))</f>
        <v/>
      </c>
      <c r="M27" s="58"/>
      <c r="N27" s="46"/>
      <c r="O27" s="47"/>
      <c r="P27" s="167"/>
      <c r="Q27" s="169"/>
      <c r="R27" s="110"/>
    </row>
    <row r="28" spans="3:19" ht="15" customHeight="1" x14ac:dyDescent="0.2">
      <c r="C28" s="40"/>
      <c r="D28" s="87"/>
      <c r="E28" s="112"/>
      <c r="F28" s="112"/>
      <c r="G28" s="112"/>
      <c r="H28" s="39"/>
      <c r="I28" s="46"/>
      <c r="J28" s="47" t="s">
        <v>0</v>
      </c>
      <c r="K28" s="187" t="str">
        <f>IF(K26="","",INDEX('Weight Record'!A2:A99999,MATCH(K26,'Weight Record'!E2:E9999,0)))</f>
        <v/>
      </c>
      <c r="L28" s="188"/>
      <c r="M28" s="113"/>
      <c r="N28" s="46"/>
      <c r="O28" s="47" t="str">
        <f>IF(P21="","Predicted Date",IF(Dashboard!K6&lt;=P21,"Date Achieved","Predicted Date"))</f>
        <v>Predicted Date</v>
      </c>
      <c r="P28" s="167" t="str">
        <f>IF(E5="","",IF(E7="","",IF(E14="","",IF(Dashboard!K15="",E26,IF(Dashboard!K6&lt;=P21,INDEX('Weight Record'!$A:$A,MATCH("Target ACHIEVED!",'Weight Record'!$Z:$Z,0)),K5+(K6-E14)/K15*7)))))</f>
        <v/>
      </c>
      <c r="Q28" s="169"/>
      <c r="R28" s="110"/>
    </row>
    <row r="29" spans="3:19" ht="15" hidden="1" customHeight="1" x14ac:dyDescent="0.2">
      <c r="C29" s="40"/>
      <c r="E29" s="193"/>
      <c r="F29" s="194"/>
      <c r="G29" s="114"/>
      <c r="H29" s="39"/>
      <c r="I29" s="46"/>
      <c r="J29" s="50" t="s">
        <v>0</v>
      </c>
      <c r="K29" s="176" t="str">
        <f>IF(K26="","",INDEX('Weight Record'!A2:A99999,MATCH(K26,'Weight Record'!D2:D9999,0)))</f>
        <v/>
      </c>
      <c r="L29" s="177"/>
      <c r="M29" s="86"/>
      <c r="N29" s="46"/>
      <c r="O29" s="106"/>
      <c r="R29" s="110"/>
    </row>
    <row r="30" spans="3:19" ht="15" customHeight="1" x14ac:dyDescent="0.2">
      <c r="C30" s="40"/>
      <c r="D30" s="47" t="s">
        <v>40</v>
      </c>
      <c r="E30" s="170" t="str">
        <f>IF(E6="","",IF(E7="","",(E7*703)/(E6*E6)))</f>
        <v/>
      </c>
      <c r="F30" s="171"/>
      <c r="G30" s="172"/>
      <c r="H30" s="39"/>
      <c r="I30" s="46"/>
      <c r="M30" s="58"/>
      <c r="O30" s="115"/>
      <c r="R30" s="110"/>
      <c r="S30" s="46"/>
    </row>
    <row r="31" spans="3:19" ht="15" customHeight="1" x14ac:dyDescent="0.2">
      <c r="C31" s="40"/>
      <c r="D31" s="47" t="s">
        <v>39</v>
      </c>
      <c r="E31" s="170" t="str">
        <f>IF(E6="","",IF(E7="","",IF(E14="","",(E14*703)/(E6*E6))))</f>
        <v/>
      </c>
      <c r="F31" s="171"/>
      <c r="G31" s="172"/>
      <c r="H31" s="46"/>
      <c r="I31" s="40"/>
      <c r="J31" s="50" t="s">
        <v>45</v>
      </c>
      <c r="K31" s="51" t="str">
        <f>IF(E7="","",SUBTOTAL(105,'Weight Record'!$E$2:$E$14))</f>
        <v/>
      </c>
      <c r="L31" s="72" t="str">
        <f>IF(K31="","",CONCATENATE(ROUNDDOWN(K31/14,0), " st ", MOD(K31,14), " lbs"))</f>
        <v/>
      </c>
      <c r="M31" s="116"/>
      <c r="O31" s="46"/>
      <c r="R31" s="110"/>
      <c r="S31" s="46"/>
    </row>
    <row r="32" spans="3:19" ht="15" customHeight="1" x14ac:dyDescent="0.2">
      <c r="C32" s="40"/>
      <c r="D32" s="46"/>
      <c r="E32" s="46"/>
      <c r="F32" s="46"/>
      <c r="G32" s="46"/>
      <c r="I32" s="40"/>
      <c r="J32" s="69" t="s">
        <v>0</v>
      </c>
      <c r="K32" s="187" t="str">
        <f>IF(K31="","",INDEX('Weight Record'!A2:A99999,MATCH(K31,'Weight Record'!D2:D9999,0)))</f>
        <v/>
      </c>
      <c r="L32" s="188"/>
      <c r="M32" s="39"/>
      <c r="O32" s="46"/>
      <c r="P32" s="46"/>
      <c r="Q32" s="46"/>
      <c r="R32" s="110"/>
      <c r="S32" s="46"/>
    </row>
    <row r="33" spans="2:24" ht="15" customHeight="1" x14ac:dyDescent="0.2">
      <c r="B33" s="39"/>
      <c r="C33" s="46"/>
      <c r="D33" s="182" t="s">
        <v>66</v>
      </c>
      <c r="E33" s="182"/>
      <c r="F33" s="182"/>
      <c r="G33" s="182"/>
      <c r="H33" s="117"/>
      <c r="I33" s="65"/>
      <c r="M33" s="39"/>
      <c r="N33" s="46"/>
      <c r="O33" s="46"/>
      <c r="P33" s="46"/>
      <c r="Q33" s="46"/>
      <c r="R33" s="110"/>
      <c r="S33" s="46"/>
    </row>
    <row r="34" spans="2:24" ht="15" customHeight="1" x14ac:dyDescent="0.2">
      <c r="B34" s="39"/>
      <c r="C34" s="46"/>
      <c r="D34" s="46"/>
      <c r="E34" s="46"/>
      <c r="F34" s="46"/>
      <c r="G34" s="46"/>
      <c r="H34" s="117"/>
      <c r="I34" s="65"/>
      <c r="J34" s="69" t="s">
        <v>77</v>
      </c>
      <c r="K34" s="183">
        <f>K5-E5</f>
        <v>0</v>
      </c>
      <c r="L34" s="183"/>
      <c r="M34" s="39"/>
      <c r="N34" s="46"/>
      <c r="O34" s="46"/>
      <c r="P34" s="46"/>
      <c r="Q34" s="46"/>
      <c r="R34" s="110"/>
      <c r="S34" s="46"/>
    </row>
    <row r="35" spans="2:24" ht="15" customHeight="1" x14ac:dyDescent="0.2">
      <c r="B35" s="39"/>
      <c r="C35" s="46"/>
      <c r="D35" s="47" t="s">
        <v>67</v>
      </c>
      <c r="E35" s="160"/>
      <c r="F35" s="161"/>
      <c r="G35" s="162"/>
      <c r="H35" s="118"/>
      <c r="I35" s="46"/>
      <c r="J35" s="69" t="s">
        <v>78</v>
      </c>
      <c r="K35" s="183">
        <f>ROUNDUP(K34/7,0)</f>
        <v>0</v>
      </c>
      <c r="L35" s="183"/>
      <c r="M35" s="39"/>
      <c r="N35" s="77"/>
      <c r="O35" s="77"/>
      <c r="P35" s="46"/>
      <c r="Q35" s="46"/>
      <c r="R35" s="110"/>
      <c r="S35" s="46"/>
      <c r="T35" s="46"/>
      <c r="U35" s="46"/>
      <c r="V35" s="46"/>
      <c r="W35" s="46"/>
      <c r="X35" s="46"/>
    </row>
    <row r="36" spans="2:24" ht="15" customHeight="1" x14ac:dyDescent="0.2">
      <c r="B36" s="39"/>
      <c r="C36" s="46"/>
      <c r="D36" s="47" t="s">
        <v>68</v>
      </c>
      <c r="E36" s="160"/>
      <c r="F36" s="161"/>
      <c r="G36" s="162"/>
      <c r="H36" s="118"/>
      <c r="I36" s="46"/>
      <c r="M36" s="39"/>
      <c r="N36" s="119"/>
      <c r="O36" s="119"/>
      <c r="P36" s="46"/>
      <c r="Q36" s="46"/>
      <c r="R36" s="110"/>
      <c r="S36" s="46"/>
      <c r="T36" s="46"/>
      <c r="U36" s="46"/>
      <c r="V36" s="46"/>
      <c r="W36" s="46"/>
      <c r="X36" s="46"/>
    </row>
    <row r="37" spans="2:24" ht="15" customHeight="1" x14ac:dyDescent="0.2">
      <c r="B37" s="39"/>
      <c r="C37" s="46"/>
      <c r="D37" s="47" t="s">
        <v>73</v>
      </c>
      <c r="E37" s="160"/>
      <c r="F37" s="161"/>
      <c r="G37" s="162"/>
      <c r="H37" s="117"/>
      <c r="I37" s="65"/>
      <c r="M37" s="120"/>
      <c r="N37" s="119"/>
      <c r="O37" s="119"/>
      <c r="P37" s="46"/>
      <c r="Q37" s="46"/>
      <c r="R37" s="104"/>
      <c r="S37" s="46"/>
      <c r="T37" s="46"/>
      <c r="U37" s="46"/>
      <c r="V37" s="46"/>
      <c r="W37" s="46"/>
      <c r="X37" s="46"/>
    </row>
    <row r="38" spans="2:24" ht="15" customHeight="1" x14ac:dyDescent="0.2">
      <c r="B38" s="39"/>
      <c r="C38" s="46"/>
      <c r="D38" s="47" t="s">
        <v>74</v>
      </c>
      <c r="E38" s="160"/>
      <c r="F38" s="161"/>
      <c r="G38" s="162"/>
      <c r="H38" s="118"/>
      <c r="I38" s="46"/>
      <c r="M38" s="39"/>
      <c r="N38" s="46"/>
      <c r="O38" s="46"/>
      <c r="P38" s="46"/>
      <c r="Q38" s="46"/>
      <c r="R38" s="39"/>
      <c r="S38" s="46"/>
      <c r="T38" s="46"/>
      <c r="U38" s="46"/>
      <c r="V38" s="46"/>
      <c r="W38" s="46"/>
      <c r="X38" s="46"/>
    </row>
    <row r="39" spans="2:24" ht="15" customHeight="1" x14ac:dyDescent="0.2">
      <c r="B39" s="39"/>
      <c r="C39" s="46"/>
      <c r="D39" s="47" t="s">
        <v>70</v>
      </c>
      <c r="E39" s="160"/>
      <c r="F39" s="161"/>
      <c r="G39" s="162"/>
      <c r="H39" s="118"/>
      <c r="I39" s="46"/>
      <c r="M39" s="39"/>
      <c r="N39" s="46"/>
      <c r="O39" s="46"/>
      <c r="P39" s="46"/>
      <c r="Q39" s="46"/>
      <c r="R39" s="39"/>
      <c r="S39" s="46"/>
      <c r="T39" s="46"/>
      <c r="U39" s="46"/>
      <c r="V39" s="46"/>
      <c r="W39" s="46"/>
      <c r="X39" s="46"/>
    </row>
    <row r="40" spans="2:24" ht="15" customHeight="1" x14ac:dyDescent="0.2">
      <c r="B40" s="39"/>
      <c r="C40" s="46"/>
      <c r="D40" s="47" t="s">
        <v>71</v>
      </c>
      <c r="E40" s="160"/>
      <c r="F40" s="161"/>
      <c r="G40" s="162"/>
      <c r="H40" s="39"/>
      <c r="I40" s="46"/>
      <c r="M40" s="86"/>
      <c r="N40" s="46"/>
      <c r="O40" s="46"/>
      <c r="P40" s="46"/>
      <c r="Q40" s="46"/>
      <c r="R40" s="39"/>
      <c r="S40" s="46"/>
      <c r="T40" s="46"/>
      <c r="U40" s="46"/>
      <c r="V40" s="46"/>
      <c r="W40" s="46"/>
      <c r="X40" s="46"/>
    </row>
    <row r="41" spans="2:24" x14ac:dyDescent="0.2">
      <c r="B41" s="39"/>
      <c r="C41" s="46"/>
      <c r="D41" s="47" t="s">
        <v>72</v>
      </c>
      <c r="E41" s="160"/>
      <c r="F41" s="161"/>
      <c r="G41" s="162"/>
      <c r="H41" s="121"/>
      <c r="I41" s="65"/>
      <c r="M41" s="86"/>
      <c r="N41" s="87"/>
      <c r="O41" s="46"/>
      <c r="P41" s="46"/>
      <c r="Q41" s="46"/>
      <c r="R41" s="39"/>
      <c r="S41" s="46"/>
      <c r="T41" s="46"/>
      <c r="U41" s="46"/>
      <c r="V41" s="46"/>
      <c r="W41" s="46"/>
      <c r="X41" s="46"/>
    </row>
    <row r="42" spans="2:24" ht="12.75" thickBot="1" x14ac:dyDescent="0.25">
      <c r="B42" s="39"/>
      <c r="C42" s="46"/>
      <c r="D42" s="122" t="s">
        <v>69</v>
      </c>
      <c r="E42" s="157"/>
      <c r="F42" s="158"/>
      <c r="G42" s="159"/>
      <c r="H42" s="121"/>
      <c r="I42" s="65"/>
      <c r="M42" s="86"/>
      <c r="N42" s="87"/>
      <c r="O42" s="46"/>
      <c r="P42" s="46"/>
      <c r="Q42" s="46"/>
      <c r="R42" s="39"/>
      <c r="S42" s="46"/>
      <c r="T42" s="46"/>
      <c r="U42" s="46"/>
      <c r="V42" s="46"/>
      <c r="W42" s="46"/>
      <c r="X42" s="46"/>
    </row>
    <row r="43" spans="2:24" x14ac:dyDescent="0.2">
      <c r="B43" s="39"/>
      <c r="C43" s="46"/>
      <c r="D43" s="83" t="s">
        <v>76</v>
      </c>
      <c r="E43" s="163"/>
      <c r="F43" s="164"/>
      <c r="G43" s="165"/>
      <c r="H43" s="39"/>
      <c r="I43" s="46"/>
      <c r="M43" s="39"/>
      <c r="N43" s="87"/>
      <c r="O43" s="46"/>
      <c r="P43" s="46"/>
      <c r="Q43" s="46"/>
      <c r="R43" s="39"/>
      <c r="S43" s="46"/>
      <c r="T43" s="46"/>
      <c r="U43" s="46"/>
      <c r="V43" s="46"/>
      <c r="W43" s="46"/>
      <c r="X43" s="46"/>
    </row>
    <row r="44" spans="2:24" x14ac:dyDescent="0.2">
      <c r="B44" s="39"/>
      <c r="C44" s="46"/>
      <c r="H44" s="39"/>
      <c r="I44" s="46"/>
      <c r="M44" s="39"/>
      <c r="N44" s="87"/>
      <c r="O44" s="46"/>
      <c r="P44" s="46"/>
      <c r="Q44" s="46"/>
      <c r="R44" s="39"/>
      <c r="S44" s="46"/>
      <c r="T44" s="46"/>
      <c r="U44" s="46"/>
      <c r="V44" s="46"/>
      <c r="W44" s="46"/>
      <c r="X44" s="46"/>
    </row>
    <row r="45" spans="2:24" x14ac:dyDescent="0.2">
      <c r="B45" s="39"/>
      <c r="C45" s="46"/>
      <c r="D45" s="156" t="str">
        <f>IF(E43&lt;1,"1 for weekly, 2 for fortnightly, 4 for monthly etc","")</f>
        <v>1 for weekly, 2 for fortnightly, 4 for monthly etc</v>
      </c>
      <c r="E45" s="156"/>
      <c r="F45" s="156"/>
      <c r="G45" s="156"/>
      <c r="H45" s="39"/>
      <c r="I45" s="46"/>
      <c r="M45" s="39"/>
      <c r="N45" s="46"/>
      <c r="O45" s="46"/>
      <c r="P45" s="46"/>
      <c r="Q45" s="46"/>
      <c r="R45" s="39"/>
      <c r="S45" s="46"/>
      <c r="T45" s="46"/>
      <c r="U45" s="46"/>
      <c r="V45" s="46"/>
      <c r="W45" s="46"/>
      <c r="X45" s="46"/>
    </row>
    <row r="46" spans="2:24" ht="12.75" thickBot="1" x14ac:dyDescent="0.25">
      <c r="B46" s="39"/>
      <c r="C46" s="123"/>
      <c r="D46" s="124"/>
      <c r="E46" s="124"/>
      <c r="F46" s="124"/>
      <c r="G46" s="124"/>
      <c r="H46" s="125"/>
      <c r="I46" s="124"/>
      <c r="J46" s="124"/>
      <c r="K46" s="124"/>
      <c r="L46" s="124"/>
      <c r="M46" s="125"/>
      <c r="N46" s="124"/>
      <c r="O46" s="124"/>
      <c r="P46" s="124"/>
      <c r="Q46" s="124"/>
      <c r="R46" s="125"/>
      <c r="S46" s="46"/>
      <c r="T46" s="46"/>
      <c r="U46" s="46"/>
      <c r="V46" s="46"/>
      <c r="W46" s="46"/>
      <c r="X46" s="46"/>
    </row>
    <row r="47" spans="2:24" ht="12.75" thickTop="1" x14ac:dyDescent="0.2"/>
    <row r="50" spans="3:8" x14ac:dyDescent="0.2">
      <c r="C50" s="126"/>
      <c r="D50" s="126"/>
      <c r="E50" s="126"/>
      <c r="F50" s="126"/>
      <c r="G50" s="126"/>
      <c r="H50" s="126"/>
    </row>
    <row r="51" spans="3:8" x14ac:dyDescent="0.2">
      <c r="C51" s="126"/>
      <c r="D51" s="126"/>
      <c r="E51" s="126"/>
      <c r="F51" s="126"/>
      <c r="G51" s="126"/>
      <c r="H51" s="126"/>
    </row>
    <row r="52" spans="3:8" x14ac:dyDescent="0.2">
      <c r="C52" s="126"/>
      <c r="D52" s="126"/>
      <c r="E52" s="126"/>
      <c r="F52" s="126"/>
      <c r="G52" s="126"/>
      <c r="H52" s="126"/>
    </row>
    <row r="53" spans="3:8" x14ac:dyDescent="0.2">
      <c r="C53" s="126"/>
      <c r="D53" s="126"/>
      <c r="E53" s="126"/>
      <c r="F53" s="126"/>
      <c r="G53" s="126"/>
      <c r="H53" s="126"/>
    </row>
    <row r="54" spans="3:8" x14ac:dyDescent="0.2">
      <c r="C54" s="126"/>
      <c r="D54" s="126"/>
      <c r="E54" s="126"/>
      <c r="F54" s="126"/>
      <c r="G54" s="126"/>
      <c r="H54" s="126"/>
    </row>
    <row r="55" spans="3:8" x14ac:dyDescent="0.2">
      <c r="C55" s="126"/>
      <c r="D55" s="127" t="b">
        <f>IF(E5="",FALSE,IF(F6="",FALSE,IF(G6="",FALSE,IF(F7="",FALSE,IF(G7="",FALSE,IF(F10="",FALSE,IF(G10="",FALSE,IF(F11="",FALSE,IF(G11="",FALSE,IF(F14="",FALSE,IF(G14="",FALSE,IF(E18="",FALSE,TRUE))))))))))))</f>
        <v>0</v>
      </c>
      <c r="E55" s="126"/>
      <c r="F55" s="126"/>
      <c r="G55" s="126"/>
      <c r="H55" s="126"/>
    </row>
    <row r="56" spans="3:8" x14ac:dyDescent="0.2">
      <c r="C56" s="126"/>
      <c r="D56" s="126"/>
      <c r="E56" s="126"/>
      <c r="F56" s="126"/>
      <c r="G56" s="126"/>
      <c r="H56" s="126"/>
    </row>
    <row r="57" spans="3:8" x14ac:dyDescent="0.2">
      <c r="C57" s="126"/>
      <c r="D57" s="126"/>
      <c r="E57" s="128"/>
      <c r="F57" s="126"/>
      <c r="G57" s="126"/>
      <c r="H57" s="126"/>
    </row>
    <row r="58" spans="3:8" x14ac:dyDescent="0.2">
      <c r="D58" s="129"/>
      <c r="E58" s="129"/>
      <c r="F58" s="129"/>
      <c r="G58" s="129"/>
    </row>
    <row r="59" spans="3:8" x14ac:dyDescent="0.2">
      <c r="D59" s="129"/>
      <c r="E59" s="129"/>
      <c r="F59" s="129"/>
      <c r="G59" s="129"/>
    </row>
    <row r="60" spans="3:8" x14ac:dyDescent="0.2">
      <c r="D60" s="129"/>
      <c r="E60" s="129"/>
      <c r="F60" s="129"/>
      <c r="G60" s="129"/>
    </row>
    <row r="61" spans="3:8" x14ac:dyDescent="0.2">
      <c r="D61" s="129"/>
      <c r="E61" s="129"/>
      <c r="F61" s="129"/>
      <c r="G61" s="129"/>
    </row>
  </sheetData>
  <mergeCells count="53">
    <mergeCell ref="D1:P1"/>
    <mergeCell ref="E29:F29"/>
    <mergeCell ref="P7:Q7"/>
    <mergeCell ref="P15:Q15"/>
    <mergeCell ref="D2:E2"/>
    <mergeCell ref="O3:Q3"/>
    <mergeCell ref="E5:G5"/>
    <mergeCell ref="F9:G9"/>
    <mergeCell ref="F16:G16"/>
    <mergeCell ref="E18:G18"/>
    <mergeCell ref="K12:L12"/>
    <mergeCell ref="K13:L13"/>
    <mergeCell ref="D3:G3"/>
    <mergeCell ref="J3:L3"/>
    <mergeCell ref="K5:L5"/>
    <mergeCell ref="K9:L9"/>
    <mergeCell ref="K10:L10"/>
    <mergeCell ref="K28:L28"/>
    <mergeCell ref="P11:Q11"/>
    <mergeCell ref="K18:L18"/>
    <mergeCell ref="P28:Q28"/>
    <mergeCell ref="P19:Q19"/>
    <mergeCell ref="P27:Q27"/>
    <mergeCell ref="P23:Q23"/>
    <mergeCell ref="K29:L29"/>
    <mergeCell ref="K15:L15"/>
    <mergeCell ref="K16:L16"/>
    <mergeCell ref="D33:G33"/>
    <mergeCell ref="E35:G35"/>
    <mergeCell ref="K34:L34"/>
    <mergeCell ref="K35:L35"/>
    <mergeCell ref="K24:L24"/>
    <mergeCell ref="K21:L21"/>
    <mergeCell ref="K32:L32"/>
    <mergeCell ref="E36:G36"/>
    <mergeCell ref="D15:G15"/>
    <mergeCell ref="E23:G23"/>
    <mergeCell ref="E31:G31"/>
    <mergeCell ref="E30:G30"/>
    <mergeCell ref="E26:G26"/>
    <mergeCell ref="E19:G19"/>
    <mergeCell ref="E21:G21"/>
    <mergeCell ref="E22:G22"/>
    <mergeCell ref="E24:G24"/>
    <mergeCell ref="E25:G25"/>
    <mergeCell ref="D45:G45"/>
    <mergeCell ref="E42:G42"/>
    <mergeCell ref="E41:G41"/>
    <mergeCell ref="E43:G43"/>
    <mergeCell ref="E37:G37"/>
    <mergeCell ref="E38:G38"/>
    <mergeCell ref="E39:G39"/>
    <mergeCell ref="E40:G40"/>
  </mergeCells>
  <pageMargins left="0.75" right="0.75" top="1" bottom="1" header="0.5" footer="0.5"/>
  <pageSetup orientation="portrait" r:id="rId1"/>
  <headerFooter alignWithMargins="0">
    <oddFooter>&amp;Lwww.contextures.com&amp;R&amp;D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100"/>
  <sheetViews>
    <sheetView zoomScaleNormal="100" workbookViewId="0">
      <selection activeCell="C15" sqref="C15"/>
    </sheetView>
  </sheetViews>
  <sheetFormatPr defaultRowHeight="12" x14ac:dyDescent="0.2"/>
  <cols>
    <col min="1" max="1" width="9.28515625" style="148" bestFit="1" customWidth="1"/>
    <col min="2" max="3" width="11.7109375" style="149" bestFit="1" customWidth="1"/>
    <col min="4" max="4" width="12.42578125" style="150" bestFit="1" customWidth="1"/>
    <col min="5" max="5" width="10.7109375" style="150" customWidth="1"/>
    <col min="6" max="6" width="10.28515625" style="150" bestFit="1" customWidth="1"/>
    <col min="7" max="10" width="12.28515625" style="150" bestFit="1" customWidth="1"/>
    <col min="11" max="11" width="8.28515625" style="150" bestFit="1" customWidth="1"/>
    <col min="12" max="12" width="10.7109375" style="37" customWidth="1"/>
    <col min="13" max="13" width="12.5703125" style="150" bestFit="1" customWidth="1"/>
    <col min="14" max="14" width="8.42578125" style="150" bestFit="1" customWidth="1"/>
    <col min="15" max="15" width="14.28515625" style="151" bestFit="1" customWidth="1"/>
    <col min="16" max="16" width="14.28515625" style="150" bestFit="1" customWidth="1"/>
    <col min="17" max="17" width="20.140625" style="150" bestFit="1" customWidth="1"/>
    <col min="18" max="18" width="17" style="150" bestFit="1" customWidth="1"/>
    <col min="19" max="19" width="15.7109375" style="150" bestFit="1" customWidth="1"/>
    <col min="20" max="20" width="17" style="150" bestFit="1" customWidth="1"/>
    <col min="21" max="21" width="15.7109375" style="150" bestFit="1" customWidth="1"/>
    <col min="22" max="22" width="17" style="150" bestFit="1" customWidth="1"/>
    <col min="23" max="23" width="15.7109375" style="150" bestFit="1" customWidth="1"/>
    <col min="24" max="24" width="17" style="150" bestFit="1" customWidth="1"/>
    <col min="25" max="26" width="14.42578125" style="150" bestFit="1" customWidth="1"/>
    <col min="27" max="27" width="18.28515625" style="150" bestFit="1" customWidth="1"/>
    <col min="28" max="16384" width="9.140625" style="87"/>
  </cols>
  <sheetData>
    <row r="1" spans="1:27" s="134" customFormat="1" ht="33.75" customHeight="1" thickBot="1" x14ac:dyDescent="0.3">
      <c r="A1" s="130" t="s">
        <v>0</v>
      </c>
      <c r="B1" s="131" t="s">
        <v>57</v>
      </c>
      <c r="C1" s="131" t="s">
        <v>58</v>
      </c>
      <c r="D1" s="130" t="s">
        <v>21</v>
      </c>
      <c r="E1" s="130" t="s">
        <v>59</v>
      </c>
      <c r="F1" s="130" t="s">
        <v>41</v>
      </c>
      <c r="G1" s="130" t="s">
        <v>19</v>
      </c>
      <c r="H1" s="130" t="s">
        <v>20</v>
      </c>
      <c r="I1" s="130" t="s">
        <v>60</v>
      </c>
      <c r="J1" s="130" t="s">
        <v>61</v>
      </c>
      <c r="K1" s="130" t="s">
        <v>46</v>
      </c>
      <c r="L1" s="132" t="s">
        <v>22</v>
      </c>
      <c r="M1" s="133" t="s">
        <v>47</v>
      </c>
      <c r="N1" s="130" t="s">
        <v>1</v>
      </c>
      <c r="O1" s="133" t="s">
        <v>6</v>
      </c>
      <c r="P1" s="133" t="s">
        <v>55</v>
      </c>
      <c r="Q1" s="133" t="s">
        <v>48</v>
      </c>
      <c r="R1" s="133" t="s">
        <v>53</v>
      </c>
      <c r="S1" s="133" t="s">
        <v>49</v>
      </c>
      <c r="T1" s="133" t="s">
        <v>54</v>
      </c>
      <c r="U1" s="133" t="s">
        <v>64</v>
      </c>
      <c r="V1" s="133" t="s">
        <v>62</v>
      </c>
      <c r="W1" s="133" t="s">
        <v>65</v>
      </c>
      <c r="X1" s="133" t="s">
        <v>63</v>
      </c>
      <c r="Y1" s="133" t="s">
        <v>50</v>
      </c>
      <c r="Z1" s="133" t="s">
        <v>56</v>
      </c>
      <c r="AA1" s="152" t="s">
        <v>51</v>
      </c>
    </row>
    <row r="2" spans="1:27" x14ac:dyDescent="0.2">
      <c r="A2" s="135" t="str">
        <f>IF(Dashboard!E5="","",Dashboard!E5)</f>
        <v/>
      </c>
      <c r="B2" s="136"/>
      <c r="C2" s="136"/>
      <c r="D2" s="137" t="e">
        <f t="shared" ref="D2:D3" si="0">IF(B2="",NA(),(B2*14)+C2)</f>
        <v>#N/A</v>
      </c>
      <c r="E2" s="137" t="str">
        <f t="shared" ref="E2:E14" si="1">IF(ISERROR(D2),"",D2)</f>
        <v/>
      </c>
      <c r="F2" s="137" t="str">
        <f>IF(Dashboard!$E$9="","",Dashboard!$E$9)</f>
        <v/>
      </c>
      <c r="G2" s="137" t="str">
        <f>IF(Dashboard!$E$10="","",Dashboard!$E$10)</f>
        <v/>
      </c>
      <c r="H2" s="137" t="str">
        <f>IF(Dashboard!$E$11="","",Dashboard!$E$11)</f>
        <v/>
      </c>
      <c r="I2" s="137" t="str">
        <f>IF(Dashboard!$E$12="","",Dashboard!$E$12)</f>
        <v/>
      </c>
      <c r="J2" s="137" t="str">
        <f>IF(Dashboard!$E$13="","",Dashboard!$E$13)</f>
        <v/>
      </c>
      <c r="K2" s="137" t="str">
        <f>IF(Dashboard!$E$14="","",Dashboard!$E$14)</f>
        <v/>
      </c>
      <c r="L2" s="137">
        <v>0</v>
      </c>
      <c r="M2" s="137"/>
      <c r="N2" s="138" t="str">
        <f>IF(ISERROR(D2),"",(D2*703)/(Dashboard!$E$6*Dashboard!$E$6))</f>
        <v/>
      </c>
      <c r="O2" s="137" t="str">
        <f>IF(ISERROR(D2),"",IF(D2&lt;=Dashboard!$P$5,"Club10 Achieved!",(Dashboard!$P$5-D2)*-1))</f>
        <v/>
      </c>
      <c r="P2" s="137" t="str">
        <f t="shared" ref="P2:P14" si="2">IF(O2="","",IF(O2="Club10 Achieved!","Club10 Achieved!",CONCATENATE(ROUNDDOWN(O2/14,0)," st ",MOD(O2,14)," lbs")))</f>
        <v/>
      </c>
      <c r="Q2" s="137" t="str">
        <f>IF(Dashboard!$E$10="","",IF(ISERROR(D2),"",IF($D2&gt;Dashboard!$E$10,$D2-Dashboard!$E$10,IF($D2="","","Target 1 ACHIEVED!"))))</f>
        <v/>
      </c>
      <c r="R2" s="137" t="str">
        <f t="shared" ref="R2:R14" si="3">IF(Q2="","",IF(Q2="Target 1 ACHIEVED!","Target 1 ACHIEVED!",CONCATENATE(ROUNDDOWN(Q2/14,0)," st ",MOD(Q2,14)," lbs")))</f>
        <v/>
      </c>
      <c r="S2" s="137" t="str">
        <f>IF(ISERROR(D2),"",IF(Dashboard!$E$11="","",IF($D2&gt;Dashboard!$E$11,$D2-Dashboard!$E$11,IF($D2="","","Target 2 ACHIEVED!"))))</f>
        <v/>
      </c>
      <c r="T2" s="137" t="str">
        <f>IF(S2="","",IF(S2="Target 2 ACHIEVED!","Target 2 ACHIEVED!",CONCATENATE(ROUNDDOWN(S2/14,0)," st ",MOD(S2,14)," lbs")))</f>
        <v/>
      </c>
      <c r="U2" s="137" t="str">
        <f>IF(Dashboard!$E$12="","",IF(ISERROR(D2),"",IF($D2&gt;Dashboard!$E$12,$D2-Dashboard!$E$12,IF($D2="","","Target 3 ACHIEVED!"))))</f>
        <v/>
      </c>
      <c r="V2" s="137" t="str">
        <f>IF(U2="","",IF(U2="Target 3 ACHIEVED!","Target 3 ACHIEVED!",CONCATENATE(ROUNDDOWN(U2/14,0)," st ",MOD(U2,14)," lbs")))</f>
        <v/>
      </c>
      <c r="W2" s="137" t="str">
        <f>IF(Dashboard!$E$13="","",IF(ISERROR(D2),"",IF($D2&gt;Dashboard!$E$13,$D2-Dashboard!$E$13,IF($D2="","","Target 4 ACHIEVED!"))))</f>
        <v/>
      </c>
      <c r="X2" s="137" t="str">
        <f t="shared" ref="X2:X14" si="4">IF(W2="","",IF(W2="Target 4 ACHIEVED!","Target 4 ACHIEVED!",CONCATENATE(ROUNDDOWN(W2/14,0)," st ",MOD(W2,14)," lbs")))</f>
        <v/>
      </c>
      <c r="Y2" s="137" t="str">
        <f>IF(ISERROR(D2),"",IF(Dashboard!$E$14="","",IF($D2&gt;Dashboard!$E$14,$D2-Dashboard!$E$14,IF($D2="","","Target ACHIEVED!"))))</f>
        <v/>
      </c>
      <c r="Z2" s="137" t="str">
        <f t="shared" ref="Z2:Z14" si="5">IF(Y2="","",IF(Y2="Target ACHIEVED!","Target ACHIEVED!",CONCATENATE(ROUNDDOWN(Y2/14,0)," st ",MOD(Y2,14)," lbs")))</f>
        <v/>
      </c>
      <c r="AA2" s="153" t="str">
        <f>IF((AND(M2&lt;=202.5,M2&gt;=196)),"14 STONE",
 IF((AND(M2&lt;=195.5,M2&gt;=189)),"13.5 STONE",
 IF((AND(M2&lt;=188.5,M2&gt;=182)),"13 STONE",
 IF((AND(M2&lt;=181.5,M2&gt;=175)),"12.5 STONE",
 IF((AND(M2&lt;=174.5,M2&gt;=168)),"12 STONE",
 IF((AND(M2&lt;=167.5,M2&gt;=161)),"11.5 STONE",
 IF((AND(M2&lt;=160.5,M2&gt;=154)),"11 STONE",
 IF((AND(M2&lt;=153.5,M2&gt;=147)),"10.5 STONE",
 IF((AND(M2&lt;=146.5,M2&gt;=140)),"10 STONE",
 IF((AND(M2&lt;=139.5,M2&gt;=133)),"9.5 STONE",
 IF((AND(M2&lt;=132.5,M2&gt;=126)),"9 STONE",
 IF((AND(M2&lt;=125.5,M2&gt;=119)),"8.5 STONE",
 IF((AND(M2&lt;=118.5,M2&gt;=112)),"8 STONE",
 IF((AND(M2&lt;=111.5,M2&gt;=105)),"7.5 STONE",
 IF((AND(M2&lt;=104.5,M2&gt;=98)),"7 STONE",
 IF((AND(M2&lt;=97.5,M2&gt;=91)),"6.5 STONE",
 IF((AND(M2&lt;=90.5,M2&gt;=84)),"6 STONE",
 IF((AND(M2&lt;=83.5,M2&gt;=77)),"5.5 STONE",
 IF((AND(M2&lt;=76.5,M2&gt;=70)),"5 STONE",
 IF((AND(M2&lt;=69.5,M2&gt;=63)),"4.5 STONE",
 IF((AND(M2&lt;=62.5,M2&gt;=56)),"4 STONE",
 IF((AND(M2&lt;=55.5,M2&gt;=49)),"3.5 STONE",
 IF((AND(M2&lt;=48.5,M2&gt;=42)),"3 STONE",
 IF((AND(M2&lt;=41.5,M2&gt;=35)),"2.5 STONE",
 IF((AND(M2&lt;=34.5,M2&gt;=28)),"2 STONE",
 IF((AND(M2&lt;=27.5,M2&gt;=21)),"1.5 STONE",
 IF((AND(M2&lt;=20.5,M2&gt;=14)),"1 STONE",
 IF((AND(M2&lt;=13.5,M2&gt;=7)),"0.5 STONE",
 IF((AND(M2&lt;=6.5,M2&gt;=0)),"",
 "")))))))))))))))))))))))))))))</f>
        <v/>
      </c>
    </row>
    <row r="3" spans="1:27" x14ac:dyDescent="0.2">
      <c r="A3" s="139" t="str">
        <f>IF(ISERROR(D3),"",A2+7)</f>
        <v/>
      </c>
      <c r="B3" s="140"/>
      <c r="C3" s="140"/>
      <c r="D3" s="141" t="e">
        <f t="shared" si="0"/>
        <v>#N/A</v>
      </c>
      <c r="E3" s="141" t="str">
        <f t="shared" si="1"/>
        <v/>
      </c>
      <c r="F3" s="141" t="str">
        <f>IF(Dashboard!$E$9="","",Dashboard!$E$9)</f>
        <v/>
      </c>
      <c r="G3" s="141" t="str">
        <f>IF(Dashboard!$E$10="","",Dashboard!$E$10)</f>
        <v/>
      </c>
      <c r="H3" s="141" t="str">
        <f>IF(Dashboard!$E$11="","",Dashboard!$E$11)</f>
        <v/>
      </c>
      <c r="I3" s="141" t="str">
        <f>IF(Dashboard!$E$12="","",Dashboard!$E$12)</f>
        <v/>
      </c>
      <c r="J3" s="141" t="str">
        <f>IF(Dashboard!$E$13="","",Dashboard!$E$13)</f>
        <v/>
      </c>
      <c r="K3" s="141" t="str">
        <f>IF(Dashboard!$E$14="","",Dashboard!$E$14)</f>
        <v/>
      </c>
      <c r="L3" s="141" t="str">
        <f>IF(ISERROR(D3),"",D3-D2)</f>
        <v/>
      </c>
      <c r="M3" s="141" t="str">
        <f>IF(B3="","",$D$2-D3)</f>
        <v/>
      </c>
      <c r="N3" s="142" t="str">
        <f>IF(ISERROR(D3),"",(D3*703)/(Dashboard!$E$6*Dashboard!$E$6))</f>
        <v/>
      </c>
      <c r="O3" s="141" t="str">
        <f>IF(ISERROR(D3),"",IF(D3&lt;=Dashboard!$P$5,"Club10 Achieved!",(Dashboard!$P$5-D3)*-1))</f>
        <v/>
      </c>
      <c r="P3" s="141" t="str">
        <f t="shared" si="2"/>
        <v/>
      </c>
      <c r="Q3" s="141" t="str">
        <f>IF(Dashboard!$E$10="","",IF(ISERROR(D3),"",IF($D3&gt;Dashboard!$E$10,$D3-Dashboard!$E$10,IF($D3="","","Target 1 ACHIEVED!"))))</f>
        <v/>
      </c>
      <c r="R3" s="141" t="str">
        <f t="shared" si="3"/>
        <v/>
      </c>
      <c r="S3" s="141" t="str">
        <f>IF(ISERROR(D3),"",IF(Dashboard!$E$11="","",IF($D3&gt;Dashboard!$E$11,$D3-Dashboard!$E$11,IF($D3="","","Target 2 ACHIEVED!"))))</f>
        <v/>
      </c>
      <c r="T3" s="141" t="str">
        <f t="shared" ref="T3:T14" si="6">IF(S3="","",IF(S3="Target 2 ACHIEVED!","Target 2 ACHIEVED!",CONCATENATE(ROUNDDOWN(S3/14,0)," st ",MOD(S3,14)," lbs")))</f>
        <v/>
      </c>
      <c r="U3" s="141" t="str">
        <f>IF(Dashboard!$E$12="","",IF(ISERROR(D3),"",IF($D3&gt;Dashboard!$E$12,$D3-Dashboard!$E$12,IF($D3="","","Target 3 ACHIEVED!"))))</f>
        <v/>
      </c>
      <c r="V3" s="141" t="str">
        <f t="shared" ref="V3:V14" si="7">IF(U3="","",IF(U3="Target 3 ACHIEVED!","Target 3 ACHIEVED!",CONCATENATE(ROUNDDOWN(U3/14,0)," st ",MOD(U3,14)," lbs")))</f>
        <v/>
      </c>
      <c r="W3" s="141" t="str">
        <f>IF(Dashboard!$E$13="","",IF(ISERROR(D3),"",IF($D3&gt;Dashboard!$E$13,$D3-Dashboard!$E$13,IF($D3="","","Target 4 ACHIEVED!"))))</f>
        <v/>
      </c>
      <c r="X3" s="141" t="str">
        <f t="shared" si="4"/>
        <v/>
      </c>
      <c r="Y3" s="141" t="str">
        <f>IF(ISERROR(D3),"",IF(Dashboard!$E$14="","",IF($D3&gt;Dashboard!$E$14,$D3-Dashboard!$E$14,IF($D3="","","Target ACHIEVED!"))))</f>
        <v/>
      </c>
      <c r="Z3" s="141" t="str">
        <f t="shared" si="5"/>
        <v/>
      </c>
      <c r="AA3" s="154" t="str">
        <f>IF((AND(M3&lt;=202.5,M3&gt;=196)),"14 STONE",
 IF((AND(M3&lt;=195.5,M3&gt;=189)),"13.5 STONE",
 IF((AND(M3&lt;=188.5,M3&gt;=182)),"13 STONE",
 IF((AND(M3&lt;=181.5,M3&gt;=175)),"12.5 STONE",
 IF((AND(M3&lt;=174.5,M3&gt;=168)),"12 STONE",
 IF((AND(M3&lt;=167.5,M3&gt;=161)),"11.5 STONE",
 IF((AND(M3&lt;=160.5,M3&gt;=154)),"11 STONE",
 IF((AND(M3&lt;=153.5,M3&gt;=147)),"10.5 STONE",
 IF((AND(M3&lt;=146.5,M3&gt;=140)),"10 STONE",
 IF((AND(M3&lt;=139.5,M3&gt;=133)),"9.5 STONE",
 IF((AND(M3&lt;=132.5,M3&gt;=126)),"9 STONE",
 IF((AND(M3&lt;=125.5,M3&gt;=119)),"8.5 STONE",
 IF((AND(M3&lt;=118.5,M3&gt;=112)),"8 STONE",
 IF((AND(M3&lt;=111.5,M3&gt;=105)),"7.5 STONE",
 IF((AND(M3&lt;=104.5,M3&gt;=98)),"7 STONE",
 IF((AND(M3&lt;=97.5,M3&gt;=91)),"6.5 STONE",
 IF((AND(M3&lt;=90.5,M3&gt;=84)),"6 STONE",
 IF((AND(M3&lt;=83.5,M3&gt;=77)),"5.5 STONE",
 IF((AND(M3&lt;=76.5,M3&gt;=70)),"5 STONE",
 IF((AND(M3&lt;=69.5,M3&gt;=63)),"4.5 STONE",
 IF((AND(M3&lt;=62.5,M3&gt;=56)),"4 STONE",
 IF((AND(M3&lt;=55.5,M3&gt;=49)),"3.5 STONE",
 IF((AND(M3&lt;=48.5,M3&gt;=42)),"3 STONE",
 IF((AND(M3&lt;=41.5,M3&gt;=35)),"2.5 STONE",
 IF((AND(M3&lt;=34.5,M3&gt;=28)),"2 STONE",
 IF((AND(M3&lt;=27.5,M3&gt;=21)),"1.5 STONE",
 IF((AND(M3&lt;=20.5,M3&gt;=14)),"1 STONE",
 IF((AND(M3&lt;=13.5,M3&gt;=7)),"0.5 STONE",
 IF((AND(M3&lt;=6.5,M3&gt;=0)),"",
 "")))))))))))))))))))))))))))))</f>
        <v/>
      </c>
    </row>
    <row r="4" spans="1:27" x14ac:dyDescent="0.2">
      <c r="A4" s="135" t="str">
        <f>IF(ISERROR(D4),"",A3+7)</f>
        <v/>
      </c>
      <c r="B4" s="136"/>
      <c r="C4" s="136"/>
      <c r="D4" s="137" t="e">
        <f>IF(B4="",NA(),(B4*14)+C4)</f>
        <v>#N/A</v>
      </c>
      <c r="E4" s="137" t="str">
        <f t="shared" si="1"/>
        <v/>
      </c>
      <c r="F4" s="137" t="str">
        <f>IF(Dashboard!$E$9="","",Dashboard!$E$9)</f>
        <v/>
      </c>
      <c r="G4" s="137" t="str">
        <f>IF(Dashboard!$E$10="","",Dashboard!$E$10)</f>
        <v/>
      </c>
      <c r="H4" s="137" t="str">
        <f>IF(Dashboard!$E$11="","",Dashboard!$E$11)</f>
        <v/>
      </c>
      <c r="I4" s="137" t="str">
        <f>IF(Dashboard!$E$12="","",Dashboard!$E$12)</f>
        <v/>
      </c>
      <c r="J4" s="137" t="str">
        <f>IF(Dashboard!$E$13="","",Dashboard!$E$13)</f>
        <v/>
      </c>
      <c r="K4" s="137" t="str">
        <f>IF(Dashboard!$E$14="","",Dashboard!$E$14)</f>
        <v/>
      </c>
      <c r="L4" s="137" t="str">
        <f>IF(ISERROR(D4),"",D4-D3)</f>
        <v/>
      </c>
      <c r="M4" s="137" t="str">
        <f t="shared" ref="M4:M14" si="8">IF(B4="","",$D$2-D4)</f>
        <v/>
      </c>
      <c r="N4" s="138" t="str">
        <f>IF(ISERROR(D4),"",(D4*703)/(Dashboard!$E$6*Dashboard!$E$6))</f>
        <v/>
      </c>
      <c r="O4" s="137" t="str">
        <f>IF(ISERROR(D4),"",IF(D4&lt;=Dashboard!$P$5,"Club10 Achieved!",(Dashboard!$P$5-D4)*-1))</f>
        <v/>
      </c>
      <c r="P4" s="137" t="str">
        <f t="shared" si="2"/>
        <v/>
      </c>
      <c r="Q4" s="137" t="str">
        <f>IF(Dashboard!$E$10="","",IF(ISERROR(D4),"",IF($D4&gt;Dashboard!$E$10,$D4-Dashboard!$E$10,IF($D4="","","Target 1 ACHIEVED!"))))</f>
        <v/>
      </c>
      <c r="R4" s="137" t="str">
        <f t="shared" si="3"/>
        <v/>
      </c>
      <c r="S4" s="137" t="str">
        <f>IF(ISERROR(D4),"",IF(Dashboard!$E$11="","",IF($D4&gt;Dashboard!$E$11,$D4-Dashboard!$E$11,IF($D4="","","Target 2 ACHIEVED!"))))</f>
        <v/>
      </c>
      <c r="T4" s="137" t="str">
        <f t="shared" si="6"/>
        <v/>
      </c>
      <c r="U4" s="137" t="str">
        <f>IF(Dashboard!$E$12="","",IF(ISERROR(D4),"",IF($D4&gt;Dashboard!$E$12,$D4-Dashboard!$E$12,IF($D4="","","Target 3 ACHIEVED!"))))</f>
        <v/>
      </c>
      <c r="V4" s="137" t="str">
        <f t="shared" si="7"/>
        <v/>
      </c>
      <c r="W4" s="137" t="str">
        <f>IF(Dashboard!$E$13="","",IF(ISERROR(D4),"",IF($D4&gt;Dashboard!$E$13,$D4-Dashboard!$E$13,IF($D4="","","Target 4 ACHIEVED!"))))</f>
        <v/>
      </c>
      <c r="X4" s="137" t="str">
        <f t="shared" si="4"/>
        <v/>
      </c>
      <c r="Y4" s="137" t="str">
        <f>IF(ISERROR(D4),"",IF(Dashboard!$E$14="","",IF($D4&gt;Dashboard!$E$14,$D4-Dashboard!$E$14,IF($D4="","","Target ACHIEVED!"))))</f>
        <v/>
      </c>
      <c r="Z4" s="137" t="str">
        <f t="shared" si="5"/>
        <v/>
      </c>
      <c r="AA4" s="153" t="str">
        <f>IF((AND(M4&lt;=202.5,M4&gt;=196)),"14 STONE",
 IF((AND(M4&lt;=195.5,M4&gt;=189)),"13.5 STONE",
 IF((AND(M4&lt;=188.5,M4&gt;=182)),"13 STONE",
 IF((AND(M4&lt;=181.5,M4&gt;=175)),"12.5 STONE",
 IF((AND(M4&lt;=174.5,M4&gt;=168)),"12 STONE",
 IF((AND(M4&lt;=167.5,M4&gt;=161)),"11.5 STONE",
 IF((AND(M4&lt;=160.5,M4&gt;=154)),"11 STONE",
 IF((AND(M4&lt;=153.5,M4&gt;=147)),"10.5 STONE",
 IF((AND(M4&lt;=146.5,M4&gt;=140)),"10 STONE",
 IF((AND(M4&lt;=139.5,M4&gt;=133)),"9.5 STONE",
 IF((AND(M4&lt;=132.5,M4&gt;=126)),"9 STONE",
 IF((AND(M4&lt;=125.5,M4&gt;=119)),"8.5 STONE",
 IF((AND(M4&lt;=118.5,M4&gt;=112)),"8 STONE",
 IF((AND(M4&lt;=111.5,M4&gt;=105)),"7.5 STONE",
 IF((AND(M4&lt;=104.5,M4&gt;=98)),"7 STONE",
 IF((AND(M4&lt;=97.5,M4&gt;=91)),"6.5 STONE",
 IF((AND(M4&lt;=90.5,M4&gt;=84)),"6 STONE",
 IF((AND(M4&lt;=83.5,M4&gt;=77)),"5.5 STONE",
 IF((AND(M4&lt;=76.5,M4&gt;=70)),"5 STONE",
 IF((AND(M4&lt;=69.5,M4&gt;=63)),"4.5 STONE",
 IF((AND(M4&lt;=62.5,M4&gt;=56)),"4 STONE",
 IF((AND(M4&lt;=55.5,M4&gt;=49)),"3.5 STONE",
 IF((AND(M4&lt;=48.5,M4&gt;=42)),"3 STONE",
 IF((AND(M4&lt;=41.5,M4&gt;=35)),"2.5 STONE",
 IF((AND(M4&lt;=34.5,M4&gt;=28)),"2 STONE",
 IF((AND(M4&lt;=27.5,M4&gt;=21)),"1.5 STONE",
 IF((AND(M4&lt;=20.5,M4&gt;=14)),"1 STONE",
 IF((AND(M4&lt;=13.5,M4&gt;=7)),"0.5 STONE",
 IF((AND(M4&lt;=6.5,M4&gt;=0)),"",
 "")))))))))))))))))))))))))))))</f>
        <v/>
      </c>
    </row>
    <row r="5" spans="1:27" x14ac:dyDescent="0.2">
      <c r="A5" s="139" t="str">
        <f t="shared" ref="A5:A14" si="9">IF(ISERROR(D5),"",A4+7)</f>
        <v/>
      </c>
      <c r="B5" s="140"/>
      <c r="C5" s="140"/>
      <c r="D5" s="141" t="e">
        <f t="shared" ref="D5:D15" si="10">IF(B5="",NA(),(B5*14)+C5)</f>
        <v>#N/A</v>
      </c>
      <c r="E5" s="141" t="str">
        <f t="shared" si="1"/>
        <v/>
      </c>
      <c r="F5" s="141" t="str">
        <f>IF(Dashboard!$E$9="","",Dashboard!$E$9)</f>
        <v/>
      </c>
      <c r="G5" s="141" t="str">
        <f>IF(Dashboard!$E$10="","",Dashboard!$E$10)</f>
        <v/>
      </c>
      <c r="H5" s="141" t="str">
        <f>IF(Dashboard!$E$11="","",Dashboard!$E$11)</f>
        <v/>
      </c>
      <c r="I5" s="141" t="str">
        <f>IF(Dashboard!$E$12="","",Dashboard!$E$12)</f>
        <v/>
      </c>
      <c r="J5" s="141" t="str">
        <f>IF(Dashboard!$E$13="","",Dashboard!$E$13)</f>
        <v/>
      </c>
      <c r="K5" s="141" t="str">
        <f>IF(Dashboard!$E$14="","",Dashboard!$E$14)</f>
        <v/>
      </c>
      <c r="L5" s="141" t="str">
        <f t="shared" ref="L5:L14" si="11">IF(ISERROR(D5),"",D5-D4)</f>
        <v/>
      </c>
      <c r="M5" s="141" t="str">
        <f t="shared" si="8"/>
        <v/>
      </c>
      <c r="N5" s="142" t="str">
        <f>IF(ISERROR(D5),"",(D5*703)/(Dashboard!$E$6*Dashboard!$E$6))</f>
        <v/>
      </c>
      <c r="O5" s="141" t="str">
        <f>IF(ISERROR(D5),"",IF(D5&lt;=Dashboard!$P$5,"Club10 Achieved!",(Dashboard!$P$5-D5)*-1))</f>
        <v/>
      </c>
      <c r="P5" s="141" t="str">
        <f t="shared" si="2"/>
        <v/>
      </c>
      <c r="Q5" s="141" t="str">
        <f>IF(Dashboard!$E$10="","",IF(ISERROR(D5),"",IF($D5&gt;Dashboard!$E$10,$D5-Dashboard!$E$10,IF($D5="","","Target 1 ACHIEVED!"))))</f>
        <v/>
      </c>
      <c r="R5" s="141" t="str">
        <f t="shared" si="3"/>
        <v/>
      </c>
      <c r="S5" s="141" t="str">
        <f>IF(ISERROR(D5),"",IF(Dashboard!$E$11="","",IF($D5&gt;Dashboard!$E$11,$D5-Dashboard!$E$11,IF($D5="","","Target 2 ACHIEVED!"))))</f>
        <v/>
      </c>
      <c r="T5" s="141" t="str">
        <f t="shared" si="6"/>
        <v/>
      </c>
      <c r="U5" s="141" t="str">
        <f>IF(Dashboard!$E$12="","",IF(ISERROR(D5),"",IF($D5&gt;Dashboard!$E$12,$D5-Dashboard!$E$12,IF($D5="","","Target 3 ACHIEVED!"))))</f>
        <v/>
      </c>
      <c r="V5" s="141" t="str">
        <f t="shared" si="7"/>
        <v/>
      </c>
      <c r="W5" s="141" t="str">
        <f>IF(Dashboard!$E$13="","",IF(ISERROR(D5),"",IF($D5&gt;Dashboard!$E$13,$D5-Dashboard!$E$13,IF($D5="","","Target 4 ACHIEVED!"))))</f>
        <v/>
      </c>
      <c r="X5" s="141" t="str">
        <f t="shared" si="4"/>
        <v/>
      </c>
      <c r="Y5" s="141" t="str">
        <f>IF(ISERROR(D5),"",IF(Dashboard!$E$14="","",IF($D5&gt;Dashboard!$E$14,$D5-Dashboard!$E$14,IF($D5="","","Target ACHIEVED!"))))</f>
        <v/>
      </c>
      <c r="Z5" s="141" t="str">
        <f t="shared" si="5"/>
        <v/>
      </c>
      <c r="AA5" s="154" t="str">
        <f>IF((AND(M5&lt;=202.5,M5&gt;=196)),"14 STONE",
 IF((AND(M5&lt;=195.5,M5&gt;=189)),"13.5 STONE",
 IF((AND(M5&lt;=188.5,M5&gt;=182)),"13 STONE",
 IF((AND(M5&lt;=181.5,M5&gt;=175)),"12.5 STONE",
 IF((AND(M5&lt;=174.5,M5&gt;=168)),"12 STONE",
 IF((AND(M5&lt;=167.5,M5&gt;=161)),"11.5 STONE",
 IF((AND(M5&lt;=160.5,M5&gt;=154)),"11 STONE",
 IF((AND(M5&lt;=153.5,M5&gt;=147)),"10.5 STONE",
 IF((AND(M5&lt;=146.5,M5&gt;=140)),"10 STONE",
 IF((AND(M5&lt;=139.5,M5&gt;=133)),"9.5 STONE",
 IF((AND(M5&lt;=132.5,M5&gt;=126)),"9 STONE",
 IF((AND(M5&lt;=125.5,M5&gt;=119)),"8.5 STONE",
 IF((AND(M5&lt;=118.5,M5&gt;=112)),"8 STONE",
 IF((AND(M5&lt;=111.5,M5&gt;=105)),"7.5 STONE",
 IF((AND(M5&lt;=104.5,M5&gt;=98)),"7 STONE",
 IF((AND(M5&lt;=97.5,M5&gt;=91)),"6.5 STONE",
 IF((AND(M5&lt;=90.5,M5&gt;=84)),"6 STONE",
 IF((AND(M5&lt;=83.5,M5&gt;=77)),"5.5 STONE",
 IF((AND(M5&lt;=76.5,M5&gt;=70)),"5 STONE",
 IF((AND(M5&lt;=69.5,M5&gt;=63)),"4.5 STONE",
 IF((AND(M5&lt;=62.5,M5&gt;=56)),"4 STONE",
 IF((AND(M5&lt;=55.5,M5&gt;=49)),"3.5 STONE",
 IF((AND(M5&lt;=48.5,M5&gt;=42)),"3 STONE",
 IF((AND(M5&lt;=41.5,M5&gt;=35)),"2.5 STONE",
 IF((AND(M5&lt;=34.5,M5&gt;=28)),"2 STONE",
 IF((AND(M5&lt;=27.5,M5&gt;=21)),"1.5 STONE",
 IF((AND(M5&lt;=20.5,M5&gt;=14)),"1 STONE",
 IF((AND(M5&lt;=13.5,M5&gt;=7)),"0.5 STONE",
 IF((AND(M5&lt;=6.5,M5&gt;=0)),"",
 "")))))))))))))))))))))))))))))</f>
        <v/>
      </c>
    </row>
    <row r="6" spans="1:27" x14ac:dyDescent="0.2">
      <c r="A6" s="135" t="str">
        <f t="shared" si="9"/>
        <v/>
      </c>
      <c r="B6" s="136"/>
      <c r="C6" s="136"/>
      <c r="D6" s="137" t="e">
        <f t="shared" si="10"/>
        <v>#N/A</v>
      </c>
      <c r="E6" s="137" t="str">
        <f t="shared" si="1"/>
        <v/>
      </c>
      <c r="F6" s="137" t="str">
        <f>IF(Dashboard!$E$9="","",Dashboard!$E$9)</f>
        <v/>
      </c>
      <c r="G6" s="137" t="str">
        <f>IF(Dashboard!$E$10="","",Dashboard!$E$10)</f>
        <v/>
      </c>
      <c r="H6" s="137" t="str">
        <f>IF(Dashboard!$E$11="","",Dashboard!$E$11)</f>
        <v/>
      </c>
      <c r="I6" s="137" t="str">
        <f>IF(Dashboard!$E$12="","",Dashboard!$E$12)</f>
        <v/>
      </c>
      <c r="J6" s="137" t="str">
        <f>IF(Dashboard!$E$13="","",Dashboard!$E$13)</f>
        <v/>
      </c>
      <c r="K6" s="137" t="str">
        <f>IF(Dashboard!$E$14="","",Dashboard!$E$14)</f>
        <v/>
      </c>
      <c r="L6" s="137" t="str">
        <f t="shared" si="11"/>
        <v/>
      </c>
      <c r="M6" s="137" t="str">
        <f t="shared" si="8"/>
        <v/>
      </c>
      <c r="N6" s="138" t="str">
        <f>IF(ISERROR(D6),"",(D6*703)/(Dashboard!$E$6*Dashboard!$E$6))</f>
        <v/>
      </c>
      <c r="O6" s="137" t="str">
        <f>IF(ISERROR(D6),"",IF(D6&lt;=Dashboard!$P$5,"Club10 Achieved!",(Dashboard!$P$5-D6)*-1))</f>
        <v/>
      </c>
      <c r="P6" s="137" t="str">
        <f t="shared" si="2"/>
        <v/>
      </c>
      <c r="Q6" s="137" t="str">
        <f>IF(Dashboard!$E$10="","",IF(ISERROR(D6),"",IF($D6&gt;Dashboard!$E$10,$D6-Dashboard!$E$10,IF($D6="","","Target 1 ACHIEVED!"))))</f>
        <v/>
      </c>
      <c r="R6" s="137" t="str">
        <f t="shared" si="3"/>
        <v/>
      </c>
      <c r="S6" s="137" t="str">
        <f>IF(ISERROR(D6),"",IF(Dashboard!$E$11="","",IF($D6&gt;Dashboard!$E$11,$D6-Dashboard!$E$11,IF($D6="","","Target 2 ACHIEVED!"))))</f>
        <v/>
      </c>
      <c r="T6" s="137" t="str">
        <f t="shared" si="6"/>
        <v/>
      </c>
      <c r="U6" s="137" t="str">
        <f>IF(Dashboard!$E$12="","",IF(ISERROR(D6),"",IF($D6&gt;Dashboard!$E$12,$D6-Dashboard!$E$12,IF($D6="","","Target 3 ACHIEVED!"))))</f>
        <v/>
      </c>
      <c r="V6" s="137" t="str">
        <f t="shared" si="7"/>
        <v/>
      </c>
      <c r="W6" s="137" t="str">
        <f>IF(Dashboard!$E$13="","",IF(ISERROR(D6),"",IF($D6&gt;Dashboard!$E$13,$D6-Dashboard!$E$13,IF($D6="","","Target 4 ACHIEVED!"))))</f>
        <v/>
      </c>
      <c r="X6" s="137" t="str">
        <f t="shared" si="4"/>
        <v/>
      </c>
      <c r="Y6" s="137" t="str">
        <f>IF(ISERROR(D6),"",IF(Dashboard!$E$14="","",IF($D6&gt;Dashboard!$E$14,$D6-Dashboard!$E$14,IF($D6="","","Target ACHIEVED!"))))</f>
        <v/>
      </c>
      <c r="Z6" s="137" t="str">
        <f t="shared" si="5"/>
        <v/>
      </c>
      <c r="AA6" s="153" t="str">
        <f t="shared" ref="AA6:AA8" si="12">IF((AND(M6&lt;=202.5,M6&gt;=196)),"14 STONE",
 IF((AND(M6&lt;=195.5,M6&gt;=189)),"13.5 STONE",
 IF((AND(M6&lt;=188.5,M6&gt;=182)),"13 STONE",
 IF((AND(M6&lt;=181.5,M6&gt;=175)),"12.5 STONE",
 IF((AND(M6&lt;=174.5,M6&gt;=168)),"12 STONE",
 IF((AND(M6&lt;=167.5,M6&gt;=161)),"11.5 STONE",
 IF((AND(M6&lt;=160.5,M6&gt;=154)),"11 STONE",
 IF((AND(M6&lt;=153.5,M6&gt;=147)),"10.5 STONE",
 IF((AND(M6&lt;=146.5,M6&gt;=140)),"10 STONE",
 IF((AND(M6&lt;=139.5,M6&gt;=133)),"9.5 STONE",
 IF((AND(M6&lt;=132.5,M6&gt;=126)),"9 STONE",
 IF((AND(M6&lt;=125.5,M6&gt;=119)),"8.5 STONE",
 IF((AND(M6&lt;=118.5,M6&gt;=112)),"8 STONE",
 IF((AND(M6&lt;=111.5,M6&gt;=105)),"7.5 STONE",
 IF((AND(M6&lt;=104.5,M6&gt;=98)),"7 STONE",
 IF((AND(M6&lt;=97.5,M6&gt;=91)),"6.5 STONE",
 IF((AND(M6&lt;=90.5,M6&gt;=84)),"6 STONE",
 IF((AND(M6&lt;=83.5,M6&gt;=77)),"5.5 STONE",
 IF((AND(M6&lt;=76.5,M6&gt;=70)),"5 STONE",
 IF((AND(M6&lt;=69.5,M6&gt;=63)),"4.5 STONE",
 IF((AND(M6&lt;=62.5,M6&gt;=56)),"4 STONE",
 IF((AND(M6&lt;=55.5,M6&gt;=49)),"3.5 STONE",
 IF((AND(M6&lt;=48.5,M6&gt;=42)),"3 STONE",
 IF((AND(M6&lt;=41.5,M6&gt;=35)),"2.5 STONE",
 IF((AND(M6&lt;=34.5,M6&gt;=28)),"2 STONE",
 IF((AND(M6&lt;=27.5,M6&gt;=21)),"1.5 STONE",
 IF((AND(M6&lt;=20.5,M6&gt;=14)),"1 STONE",
 IF((AND(M6&lt;=13.5,M6&gt;=7)),"0.5 STONE",
 IF((AND(M6&lt;=6.5,M6&gt;=0)),"",
 "")))))))))))))))))))))))))))))</f>
        <v/>
      </c>
    </row>
    <row r="7" spans="1:27" x14ac:dyDescent="0.2">
      <c r="A7" s="139" t="str">
        <f t="shared" si="9"/>
        <v/>
      </c>
      <c r="B7" s="140"/>
      <c r="C7" s="140"/>
      <c r="D7" s="141" t="e">
        <f t="shared" si="10"/>
        <v>#N/A</v>
      </c>
      <c r="E7" s="141" t="str">
        <f t="shared" si="1"/>
        <v/>
      </c>
      <c r="F7" s="141" t="str">
        <f>IF(Dashboard!$E$9="","",Dashboard!$E$9)</f>
        <v/>
      </c>
      <c r="G7" s="141" t="str">
        <f>IF(Dashboard!$E$10="","",Dashboard!$E$10)</f>
        <v/>
      </c>
      <c r="H7" s="141" t="str">
        <f>IF(Dashboard!$E$11="","",Dashboard!$E$11)</f>
        <v/>
      </c>
      <c r="I7" s="141" t="str">
        <f>IF(Dashboard!$E$12="","",Dashboard!$E$12)</f>
        <v/>
      </c>
      <c r="J7" s="141" t="str">
        <f>IF(Dashboard!$E$13="","",Dashboard!$E$13)</f>
        <v/>
      </c>
      <c r="K7" s="141" t="str">
        <f>IF(Dashboard!$E$14="","",Dashboard!$E$14)</f>
        <v/>
      </c>
      <c r="L7" s="141" t="str">
        <f t="shared" si="11"/>
        <v/>
      </c>
      <c r="M7" s="141" t="str">
        <f t="shared" si="8"/>
        <v/>
      </c>
      <c r="N7" s="142" t="str">
        <f>IF(ISERROR(D7),"",(D7*703)/(Dashboard!$E$6*Dashboard!$E$6))</f>
        <v/>
      </c>
      <c r="O7" s="141" t="str">
        <f>IF(ISERROR(D7),"",IF(D7&lt;=Dashboard!$P$5,"Club10 Achieved!",(Dashboard!$P$5-D7)*-1))</f>
        <v/>
      </c>
      <c r="P7" s="141" t="str">
        <f t="shared" si="2"/>
        <v/>
      </c>
      <c r="Q7" s="141" t="str">
        <f>IF(Dashboard!$E$10="","",IF(ISERROR(D7),"",IF($D7&gt;Dashboard!$E$10,$D7-Dashboard!$E$10,IF($D7="","","Target 1 ACHIEVED!"))))</f>
        <v/>
      </c>
      <c r="R7" s="141" t="str">
        <f t="shared" si="3"/>
        <v/>
      </c>
      <c r="S7" s="141" t="str">
        <f>IF(ISERROR(D7),"",IF(Dashboard!$E$11="","",IF($D7&gt;Dashboard!$E$11,$D7-Dashboard!$E$11,IF($D7="","","Target 2 ACHIEVED!"))))</f>
        <v/>
      </c>
      <c r="T7" s="141" t="str">
        <f t="shared" si="6"/>
        <v/>
      </c>
      <c r="U7" s="141" t="str">
        <f>IF(Dashboard!$E$12="","",IF(ISERROR(D7),"",IF($D7&gt;Dashboard!$E$12,$D7-Dashboard!$E$12,IF($D7="","","Target 3 ACHIEVED!"))))</f>
        <v/>
      </c>
      <c r="V7" s="141" t="str">
        <f t="shared" si="7"/>
        <v/>
      </c>
      <c r="W7" s="141" t="str">
        <f>IF(Dashboard!$E$13="","",IF(ISERROR(D7),"",IF($D7&gt;Dashboard!$E$13,$D7-Dashboard!$E$13,IF($D7="","","Target 4 ACHIEVED!"))))</f>
        <v/>
      </c>
      <c r="X7" s="141" t="str">
        <f t="shared" si="4"/>
        <v/>
      </c>
      <c r="Y7" s="141" t="str">
        <f>IF(ISERROR(D7),"",IF(Dashboard!$E$14="","",IF($D7&gt;Dashboard!$E$14,$D7-Dashboard!$E$14,IF($D7="","","Target ACHIEVED!"))))</f>
        <v/>
      </c>
      <c r="Z7" s="141" t="str">
        <f t="shared" si="5"/>
        <v/>
      </c>
      <c r="AA7" s="154" t="str">
        <f t="shared" si="12"/>
        <v/>
      </c>
    </row>
    <row r="8" spans="1:27" s="143" customFormat="1" x14ac:dyDescent="0.2">
      <c r="A8" s="135" t="str">
        <f t="shared" si="9"/>
        <v/>
      </c>
      <c r="B8" s="136"/>
      <c r="C8" s="136"/>
      <c r="D8" s="137" t="e">
        <f t="shared" si="10"/>
        <v>#N/A</v>
      </c>
      <c r="E8" s="137" t="str">
        <f t="shared" si="1"/>
        <v/>
      </c>
      <c r="F8" s="137" t="str">
        <f>IF(Dashboard!$E$9="","",Dashboard!$E$9)</f>
        <v/>
      </c>
      <c r="G8" s="137" t="str">
        <f>IF(Dashboard!$E$10="","",Dashboard!$E$10)</f>
        <v/>
      </c>
      <c r="H8" s="137" t="str">
        <f>IF(Dashboard!$E$11="","",Dashboard!$E$11)</f>
        <v/>
      </c>
      <c r="I8" s="137" t="str">
        <f>IF(Dashboard!$E$12="","",Dashboard!$E$12)</f>
        <v/>
      </c>
      <c r="J8" s="137" t="str">
        <f>IF(Dashboard!$E$13="","",Dashboard!$E$13)</f>
        <v/>
      </c>
      <c r="K8" s="137" t="str">
        <f>IF(Dashboard!$E$14="","",Dashboard!$E$14)</f>
        <v/>
      </c>
      <c r="L8" s="137" t="str">
        <f t="shared" si="11"/>
        <v/>
      </c>
      <c r="M8" s="137" t="str">
        <f t="shared" si="8"/>
        <v/>
      </c>
      <c r="N8" s="138" t="str">
        <f>IF(ISERROR(D8),"",(D8*703)/(Dashboard!$E$6*Dashboard!$E$6))</f>
        <v/>
      </c>
      <c r="O8" s="137" t="str">
        <f>IF(ISERROR(D8),"",IF(D8&lt;=Dashboard!$P$5,"Club10 Achieved!",(Dashboard!$P$5-D8)*-1))</f>
        <v/>
      </c>
      <c r="P8" s="137" t="str">
        <f t="shared" si="2"/>
        <v/>
      </c>
      <c r="Q8" s="137" t="str">
        <f>IF(Dashboard!$E$10="","",IF(ISERROR(D8),"",IF($D8&gt;Dashboard!$E$10,$D8-Dashboard!$E$10,IF($D8="","","Target 1 ACHIEVED!"))))</f>
        <v/>
      </c>
      <c r="R8" s="137" t="str">
        <f t="shared" si="3"/>
        <v/>
      </c>
      <c r="S8" s="137" t="str">
        <f>IF(ISERROR(D8),"",IF(Dashboard!$E$11="","",IF($D8&gt;Dashboard!$E$11,$D8-Dashboard!$E$11,IF($D8="","","Target 2 ACHIEVED!"))))</f>
        <v/>
      </c>
      <c r="T8" s="137" t="str">
        <f t="shared" si="6"/>
        <v/>
      </c>
      <c r="U8" s="137" t="str">
        <f>IF(Dashboard!$E$12="","",IF(ISERROR(D8),"",IF($D8&gt;Dashboard!$E$12,$D8-Dashboard!$E$12,IF($D8="","","Target 3 ACHIEVED!"))))</f>
        <v/>
      </c>
      <c r="V8" s="137" t="str">
        <f t="shared" si="7"/>
        <v/>
      </c>
      <c r="W8" s="137" t="str">
        <f>IF(Dashboard!$E$13="","",IF(ISERROR(D8),"",IF($D8&gt;Dashboard!$E$13,$D8-Dashboard!$E$13,IF($D8="","","Target 4 ACHIEVED!"))))</f>
        <v/>
      </c>
      <c r="X8" s="137" t="str">
        <f t="shared" si="4"/>
        <v/>
      </c>
      <c r="Y8" s="137" t="str">
        <f>IF(ISERROR(D8),"",IF(Dashboard!$E$14="","",IF($D8&gt;Dashboard!$E$14,$D8-Dashboard!$E$14,IF($D8="","","Target ACHIEVED!"))))</f>
        <v/>
      </c>
      <c r="Z8" s="137" t="str">
        <f t="shared" si="5"/>
        <v/>
      </c>
      <c r="AA8" s="153" t="str">
        <f t="shared" si="12"/>
        <v/>
      </c>
    </row>
    <row r="9" spans="1:27" x14ac:dyDescent="0.2">
      <c r="A9" s="139" t="str">
        <f t="shared" si="9"/>
        <v/>
      </c>
      <c r="B9" s="140"/>
      <c r="C9" s="140"/>
      <c r="D9" s="141" t="e">
        <f t="shared" si="10"/>
        <v>#N/A</v>
      </c>
      <c r="E9" s="141" t="str">
        <f t="shared" si="1"/>
        <v/>
      </c>
      <c r="F9" s="141" t="str">
        <f>IF(Dashboard!$E$9="","",Dashboard!$E$9)</f>
        <v/>
      </c>
      <c r="G9" s="141" t="str">
        <f>IF(Dashboard!$E$10="","",Dashboard!$E$10)</f>
        <v/>
      </c>
      <c r="H9" s="141" t="str">
        <f>IF(Dashboard!$E$11="","",Dashboard!$E$11)</f>
        <v/>
      </c>
      <c r="I9" s="141" t="str">
        <f>IF(Dashboard!$E$12="","",Dashboard!$E$12)</f>
        <v/>
      </c>
      <c r="J9" s="141" t="str">
        <f>IF(Dashboard!$E$13="","",Dashboard!$E$13)</f>
        <v/>
      </c>
      <c r="K9" s="141" t="str">
        <f>IF(Dashboard!$E$14="","",Dashboard!$E$14)</f>
        <v/>
      </c>
      <c r="L9" s="141" t="str">
        <f t="shared" si="11"/>
        <v/>
      </c>
      <c r="M9" s="141" t="str">
        <f t="shared" si="8"/>
        <v/>
      </c>
      <c r="N9" s="142" t="str">
        <f>IF(ISERROR(D9),"",(D9*703)/(Dashboard!$E$6*Dashboard!$E$6))</f>
        <v/>
      </c>
      <c r="O9" s="141" t="str">
        <f>IF(ISERROR(D9),"",IF(D9&lt;=Dashboard!$P$5,"Club10 Achieved!",(Dashboard!$P$5-D9)*-1))</f>
        <v/>
      </c>
      <c r="P9" s="141" t="str">
        <f t="shared" si="2"/>
        <v/>
      </c>
      <c r="Q9" s="141" t="str">
        <f>IF(Dashboard!$E$10="","",IF(ISERROR(D9),"",IF($D9&gt;Dashboard!$E$10,$D9-Dashboard!$E$10,IF($D9="","","Target 1 ACHIEVED!"))))</f>
        <v/>
      </c>
      <c r="R9" s="141" t="str">
        <f t="shared" si="3"/>
        <v/>
      </c>
      <c r="S9" s="141" t="str">
        <f>IF(ISERROR(D9),"",IF(Dashboard!$E$11="","",IF($D9&gt;Dashboard!$E$11,$D9-Dashboard!$E$11,IF($D9="","","Target 2 ACHIEVED!"))))</f>
        <v/>
      </c>
      <c r="T9" s="141" t="str">
        <f t="shared" si="6"/>
        <v/>
      </c>
      <c r="U9" s="141" t="str">
        <f>IF(Dashboard!$E$12="","",IF(ISERROR(D9),"",IF($D9&gt;Dashboard!$E$12,$D9-Dashboard!$E$12,IF($D9="","","Target 3 ACHIEVED!"))))</f>
        <v/>
      </c>
      <c r="V9" s="141" t="str">
        <f t="shared" si="7"/>
        <v/>
      </c>
      <c r="W9" s="141" t="str">
        <f>IF(Dashboard!$E$13="","",IF(ISERROR(D9),"",IF($D9&gt;Dashboard!$E$13,$D9-Dashboard!$E$13,IF($D9="","","Target 4 ACHIEVED!"))))</f>
        <v/>
      </c>
      <c r="X9" s="141" t="str">
        <f t="shared" si="4"/>
        <v/>
      </c>
      <c r="Y9" s="141" t="str">
        <f>IF(ISERROR(D9),"",IF(Dashboard!$E$14="","",IF($D9&gt;Dashboard!$E$14,$D9-Dashboard!$E$14,IF($D9="","","Target ACHIEVED!"))))</f>
        <v/>
      </c>
      <c r="Z9" s="141" t="str">
        <f t="shared" si="5"/>
        <v/>
      </c>
      <c r="AA9" s="154" t="str">
        <f t="shared" ref="AA9:AA14" si="13">IF((AND(M9&lt;=202.5,M9&gt;=196)),"14 STONE",
 IF((AND(M9&lt;=195.5,M9&gt;=189)),"13.5 STONE",
 IF((AND(M9&lt;=188.5,M9&gt;=182)),"13 STONE",
 IF((AND(M9&lt;=181.5,M9&gt;=175)),"12.5 STONE",
 IF((AND(M9&lt;=174.5,M9&gt;=168)),"12 STONE",
 IF((AND(M9&lt;=167.5,M9&gt;=161)),"11.5 STONE",
 IF((AND(M9&lt;=160.5,M9&gt;=154)),"11 STONE",
 IF((AND(M9&lt;=153.5,M9&gt;=147)),"10.5 STONE",
 IF((AND(M9&lt;=146.5,M9&gt;=140)),"10 STONE",
 IF((AND(M9&lt;=139.5,M9&gt;=133)),"9.5 STONE",
 IF((AND(M9&lt;=132.5,M9&gt;=126)),"9 STONE",
 IF((AND(M9&lt;=125.5,M9&gt;=119)),"8.5 STONE",
 IF((AND(M9&lt;=118.5,M9&gt;=112)),"8 STONE",
 IF((AND(M9&lt;=111.5,M9&gt;=105)),"7.5 STONE",
 IF((AND(M9&lt;=104.5,M9&gt;=98)),"7 STONE",
 IF((AND(M9&lt;=97.5,M9&gt;=91)),"6.5 STONE",
 IF((AND(M9&lt;=90.5,M9&gt;=84)),"6 STONE",
 IF((AND(M9&lt;=83.5,M9&gt;=77)),"5.5 STONE",
 IF((AND(M9&lt;=76.5,M9&gt;=70)),"5 STONE",
 IF((AND(M9&lt;=69.5,M9&gt;=63)),"4.5 STONE",
 IF((AND(M9&lt;=62.5,M9&gt;=56)),"4 STONE",
 IF((AND(M9&lt;=55.5,M9&gt;=49)),"3.5 STONE",
 IF((AND(M9&lt;=48.5,M9&gt;=42)),"3 STONE",
 IF((AND(M9&lt;=41.5,M9&gt;=35)),"2.5 STONE",
 IF((AND(M9&lt;=34.5,M9&gt;=28)),"2 STONE",
 IF((AND(M9&lt;=27.5,M9&gt;=21)),"1.5 STONE",
 IF((AND(M9&lt;=20.5,M9&gt;=14)),"1 STONE",
 IF((AND(M9&lt;=13.5,M9&gt;=7)),"0.5 STONE",
 IF((AND(M9&lt;=6.5,M9&gt;=0)),"",
 "")))))))))))))))))))))))))))))</f>
        <v/>
      </c>
    </row>
    <row r="10" spans="1:27" x14ac:dyDescent="0.2">
      <c r="A10" s="135" t="str">
        <f t="shared" si="9"/>
        <v/>
      </c>
      <c r="B10" s="136"/>
      <c r="C10" s="136"/>
      <c r="D10" s="141" t="e">
        <f t="shared" si="10"/>
        <v>#N/A</v>
      </c>
      <c r="E10" s="137" t="str">
        <f t="shared" si="1"/>
        <v/>
      </c>
      <c r="F10" s="137" t="str">
        <f>IF(Dashboard!$E$9="","",Dashboard!$E$9)</f>
        <v/>
      </c>
      <c r="G10" s="137" t="str">
        <f>IF(Dashboard!$E$10="","",Dashboard!$E$10)</f>
        <v/>
      </c>
      <c r="H10" s="137" t="str">
        <f>IF(Dashboard!$E$11="","",Dashboard!$E$11)</f>
        <v/>
      </c>
      <c r="I10" s="137" t="str">
        <f>IF(Dashboard!$E$12="","",Dashboard!$E$12)</f>
        <v/>
      </c>
      <c r="J10" s="137" t="str">
        <f>IF(Dashboard!$E$13="","",Dashboard!$E$13)</f>
        <v/>
      </c>
      <c r="K10" s="137" t="str">
        <f>IF(Dashboard!$E$14="","",Dashboard!$E$14)</f>
        <v/>
      </c>
      <c r="L10" s="137" t="str">
        <f t="shared" si="11"/>
        <v/>
      </c>
      <c r="M10" s="137" t="str">
        <f t="shared" si="8"/>
        <v/>
      </c>
      <c r="N10" s="138" t="str">
        <f>IF(ISERROR(D10),"",(D10*703)/(Dashboard!$E$6*Dashboard!$E$6))</f>
        <v/>
      </c>
      <c r="O10" s="137" t="str">
        <f>IF(ISERROR(D10),"",IF(D10&lt;=Dashboard!$P$5,"Club10 Achieved!",(Dashboard!$P$5-D10)*-1))</f>
        <v/>
      </c>
      <c r="P10" s="137" t="str">
        <f t="shared" si="2"/>
        <v/>
      </c>
      <c r="Q10" s="137" t="str">
        <f>IF(Dashboard!$E$10="","",IF(ISERROR(D10),"",IF($D10&gt;Dashboard!$E$10,$D10-Dashboard!$E$10,IF($D10="","","Target 1 ACHIEVED!"))))</f>
        <v/>
      </c>
      <c r="R10" s="137" t="str">
        <f t="shared" si="3"/>
        <v/>
      </c>
      <c r="S10" s="137" t="str">
        <f>IF(ISERROR(D10),"",IF(Dashboard!$E$11="","",IF($D10&gt;Dashboard!$E$11,$D10-Dashboard!$E$11,IF($D10="","","Target 2 ACHIEVED!"))))</f>
        <v/>
      </c>
      <c r="T10" s="137" t="str">
        <f t="shared" si="6"/>
        <v/>
      </c>
      <c r="U10" s="137" t="str">
        <f>IF(Dashboard!$E$12="","",IF(ISERROR(D10),"",IF($D10&gt;Dashboard!$E$12,$D10-Dashboard!$E$12,IF($D10="","","Target 3 ACHIEVED!"))))</f>
        <v/>
      </c>
      <c r="V10" s="137" t="str">
        <f t="shared" si="7"/>
        <v/>
      </c>
      <c r="W10" s="137" t="str">
        <f>IF(Dashboard!$E$13="","",IF(ISERROR(D10),"",IF($D10&gt;Dashboard!$E$13,$D10-Dashboard!$E$13,IF($D10="","","Target 4 ACHIEVED!"))))</f>
        <v/>
      </c>
      <c r="X10" s="137" t="str">
        <f t="shared" si="4"/>
        <v/>
      </c>
      <c r="Y10" s="137" t="str">
        <f>IF(ISERROR(D10),"",IF(Dashboard!$E$14="","",IF($D10&gt;Dashboard!$E$14,$D10-Dashboard!$E$14,IF($D10="","","Target ACHIEVED!"))))</f>
        <v/>
      </c>
      <c r="Z10" s="137" t="str">
        <f t="shared" si="5"/>
        <v/>
      </c>
      <c r="AA10" s="153" t="str">
        <f t="shared" si="13"/>
        <v/>
      </c>
    </row>
    <row r="11" spans="1:27" x14ac:dyDescent="0.2">
      <c r="A11" s="139" t="str">
        <f t="shared" si="9"/>
        <v/>
      </c>
      <c r="B11" s="140"/>
      <c r="C11" s="140"/>
      <c r="D11" s="141" t="e">
        <f t="shared" si="10"/>
        <v>#N/A</v>
      </c>
      <c r="E11" s="141" t="str">
        <f t="shared" si="1"/>
        <v/>
      </c>
      <c r="F11" s="141" t="str">
        <f>IF(Dashboard!$E$9="","",Dashboard!$E$9)</f>
        <v/>
      </c>
      <c r="G11" s="141" t="str">
        <f>IF(Dashboard!$E$10="","",Dashboard!$E$10)</f>
        <v/>
      </c>
      <c r="H11" s="141" t="str">
        <f>IF(Dashboard!$E$11="","",Dashboard!$E$11)</f>
        <v/>
      </c>
      <c r="I11" s="141" t="str">
        <f>IF(Dashboard!$E$12="","",Dashboard!$E$12)</f>
        <v/>
      </c>
      <c r="J11" s="141" t="str">
        <f>IF(Dashboard!$E$13="","",Dashboard!$E$13)</f>
        <v/>
      </c>
      <c r="K11" s="141" t="str">
        <f>IF(Dashboard!$E$14="","",Dashboard!$E$14)</f>
        <v/>
      </c>
      <c r="L11" s="141" t="str">
        <f t="shared" si="11"/>
        <v/>
      </c>
      <c r="M11" s="141" t="str">
        <f t="shared" si="8"/>
        <v/>
      </c>
      <c r="N11" s="142" t="str">
        <f>IF(ISERROR(D11),"",(D11*703)/(Dashboard!$E$6*Dashboard!$E$6))</f>
        <v/>
      </c>
      <c r="O11" s="141" t="str">
        <f>IF(ISERROR(D11),"",IF(D11&lt;=Dashboard!$P$5,"Club10 Achieved!",(Dashboard!$P$5-D11)*-1))</f>
        <v/>
      </c>
      <c r="P11" s="141" t="str">
        <f t="shared" si="2"/>
        <v/>
      </c>
      <c r="Q11" s="141" t="str">
        <f>IF(Dashboard!$E$10="","",IF(ISERROR(D11),"",IF($D11&gt;Dashboard!$E$10,$D11-Dashboard!$E$10,IF($D11="","","Target 1 ACHIEVED!"))))</f>
        <v/>
      </c>
      <c r="R11" s="141" t="str">
        <f t="shared" si="3"/>
        <v/>
      </c>
      <c r="S11" s="141" t="str">
        <f>IF(ISERROR(D11),"",IF(Dashboard!$E$11="","",IF($D11&gt;Dashboard!$E$11,$D11-Dashboard!$E$11,IF($D11="","","Target 2 ACHIEVED!"))))</f>
        <v/>
      </c>
      <c r="T11" s="141" t="str">
        <f t="shared" si="6"/>
        <v/>
      </c>
      <c r="U11" s="141" t="str">
        <f>IF(Dashboard!$E$12="","",IF(ISERROR(D11),"",IF($D11&gt;Dashboard!$E$12,$D11-Dashboard!$E$12,IF($D11="","","Target 3 ACHIEVED!"))))</f>
        <v/>
      </c>
      <c r="V11" s="141" t="str">
        <f t="shared" si="7"/>
        <v/>
      </c>
      <c r="W11" s="141" t="str">
        <f>IF(Dashboard!$E$13="","",IF(ISERROR(D11),"",IF($D11&gt;Dashboard!$E$13,$D11-Dashboard!$E$13,IF($D11="","","Target 4 ACHIEVED!"))))</f>
        <v/>
      </c>
      <c r="X11" s="141" t="str">
        <f t="shared" si="4"/>
        <v/>
      </c>
      <c r="Y11" s="141" t="str">
        <f>IF(ISERROR(D11),"",IF(Dashboard!$E$14="","",IF($D11&gt;Dashboard!$E$14,$D11-Dashboard!$E$14,IF($D11="","","Target ACHIEVED!"))))</f>
        <v/>
      </c>
      <c r="Z11" s="141" t="str">
        <f t="shared" si="5"/>
        <v/>
      </c>
      <c r="AA11" s="154" t="str">
        <f t="shared" si="13"/>
        <v/>
      </c>
    </row>
    <row r="12" spans="1:27" x14ac:dyDescent="0.2">
      <c r="A12" s="135" t="str">
        <f t="shared" si="9"/>
        <v/>
      </c>
      <c r="B12" s="136"/>
      <c r="C12" s="136"/>
      <c r="D12" s="141" t="e">
        <f t="shared" si="10"/>
        <v>#N/A</v>
      </c>
      <c r="E12" s="137" t="str">
        <f t="shared" si="1"/>
        <v/>
      </c>
      <c r="F12" s="137" t="str">
        <f>IF(Dashboard!$E$9="","",Dashboard!$E$9)</f>
        <v/>
      </c>
      <c r="G12" s="137" t="str">
        <f>IF(Dashboard!$E$10="","",Dashboard!$E$10)</f>
        <v/>
      </c>
      <c r="H12" s="137" t="str">
        <f>IF(Dashboard!$E$11="","",Dashboard!$E$11)</f>
        <v/>
      </c>
      <c r="I12" s="137" t="str">
        <f>IF(Dashboard!$E$12="","",Dashboard!$E$12)</f>
        <v/>
      </c>
      <c r="J12" s="137" t="str">
        <f>IF(Dashboard!$E$13="","",Dashboard!$E$13)</f>
        <v/>
      </c>
      <c r="K12" s="137" t="str">
        <f>IF(Dashboard!$E$14="","",Dashboard!$E$14)</f>
        <v/>
      </c>
      <c r="L12" s="137" t="str">
        <f t="shared" si="11"/>
        <v/>
      </c>
      <c r="M12" s="137" t="str">
        <f t="shared" si="8"/>
        <v/>
      </c>
      <c r="N12" s="138" t="str">
        <f>IF(ISERROR(D12),"",(D12*703)/(Dashboard!$E$6*Dashboard!$E$6))</f>
        <v/>
      </c>
      <c r="O12" s="137" t="str">
        <f>IF(ISERROR(D12),"",IF(D12&lt;=Dashboard!$P$5,"Club10 Achieved!",(Dashboard!$P$5-D12)*-1))</f>
        <v/>
      </c>
      <c r="P12" s="137" t="str">
        <f t="shared" si="2"/>
        <v/>
      </c>
      <c r="Q12" s="137" t="str">
        <f>IF(Dashboard!$E$10="","",IF(ISERROR(D12),"",IF($D12&gt;Dashboard!$E$10,$D12-Dashboard!$E$10,IF($D12="","","Target 1 ACHIEVED!"))))</f>
        <v/>
      </c>
      <c r="R12" s="137" t="str">
        <f t="shared" si="3"/>
        <v/>
      </c>
      <c r="S12" s="137" t="str">
        <f>IF(ISERROR(D12),"",IF(Dashboard!$E$11="","",IF($D12&gt;Dashboard!$E$11,$D12-Dashboard!$E$11,IF($D12="","","Target 2 ACHIEVED!"))))</f>
        <v/>
      </c>
      <c r="T12" s="137" t="str">
        <f t="shared" si="6"/>
        <v/>
      </c>
      <c r="U12" s="137" t="str">
        <f>IF(Dashboard!$E$12="","",IF(ISERROR(D12),"",IF($D12&gt;Dashboard!$E$12,$D12-Dashboard!$E$12,IF($D12="","","Target 3 ACHIEVED!"))))</f>
        <v/>
      </c>
      <c r="V12" s="137" t="str">
        <f t="shared" si="7"/>
        <v/>
      </c>
      <c r="W12" s="137" t="str">
        <f>IF(Dashboard!$E$13="","",IF(ISERROR(D12),"",IF($D12&gt;Dashboard!$E$13,$D12-Dashboard!$E$13,IF($D12="","","Target 4 ACHIEVED!"))))</f>
        <v/>
      </c>
      <c r="X12" s="137" t="str">
        <f t="shared" si="4"/>
        <v/>
      </c>
      <c r="Y12" s="137" t="str">
        <f>IF(ISERROR(D12),"",IF(Dashboard!$E$14="","",IF($D12&gt;Dashboard!$E$14,$D12-Dashboard!$E$14,IF($D12="","","Target ACHIEVED!"))))</f>
        <v/>
      </c>
      <c r="Z12" s="137" t="str">
        <f t="shared" si="5"/>
        <v/>
      </c>
      <c r="AA12" s="153" t="str">
        <f t="shared" si="13"/>
        <v/>
      </c>
    </row>
    <row r="13" spans="1:27" x14ac:dyDescent="0.2">
      <c r="A13" s="139" t="str">
        <f t="shared" si="9"/>
        <v/>
      </c>
      <c r="B13" s="140"/>
      <c r="C13" s="140"/>
      <c r="D13" s="141" t="e">
        <f t="shared" si="10"/>
        <v>#N/A</v>
      </c>
      <c r="E13" s="141" t="str">
        <f t="shared" si="1"/>
        <v/>
      </c>
      <c r="F13" s="141" t="str">
        <f>IF(Dashboard!$E$9="","",Dashboard!$E$9)</f>
        <v/>
      </c>
      <c r="G13" s="141" t="str">
        <f>IF(Dashboard!$E$10="","",Dashboard!$E$10)</f>
        <v/>
      </c>
      <c r="H13" s="141" t="str">
        <f>IF(Dashboard!$E$11="","",Dashboard!$E$11)</f>
        <v/>
      </c>
      <c r="I13" s="141" t="str">
        <f>IF(Dashboard!$E$12="","",Dashboard!$E$12)</f>
        <v/>
      </c>
      <c r="J13" s="141" t="str">
        <f>IF(Dashboard!$E$13="","",Dashboard!$E$13)</f>
        <v/>
      </c>
      <c r="K13" s="141" t="str">
        <f>IF(Dashboard!$E$14="","",Dashboard!$E$14)</f>
        <v/>
      </c>
      <c r="L13" s="141" t="str">
        <f t="shared" si="11"/>
        <v/>
      </c>
      <c r="M13" s="141" t="str">
        <f t="shared" si="8"/>
        <v/>
      </c>
      <c r="N13" s="142" t="str">
        <f>IF(ISERROR(D13),"",(D13*703)/(Dashboard!$E$6*Dashboard!$E$6))</f>
        <v/>
      </c>
      <c r="O13" s="141" t="str">
        <f>IF(ISERROR(D13),"",IF(D13&lt;=Dashboard!$P$5,"Club10 Achieved!",(Dashboard!$P$5-D13)*-1))</f>
        <v/>
      </c>
      <c r="P13" s="141" t="str">
        <f t="shared" si="2"/>
        <v/>
      </c>
      <c r="Q13" s="141" t="str">
        <f>IF(Dashboard!$E$10="","",IF(ISERROR(D13),"",IF($D13&gt;Dashboard!$E$10,$D13-Dashboard!$E$10,IF($D13="","","Target 1 ACHIEVED!"))))</f>
        <v/>
      </c>
      <c r="R13" s="141" t="str">
        <f t="shared" si="3"/>
        <v/>
      </c>
      <c r="S13" s="141" t="str">
        <f>IF(ISERROR(D13),"",IF(Dashboard!$E$11="","",IF($D13&gt;Dashboard!$E$11,$D13-Dashboard!$E$11,IF($D13="","","Target 2 ACHIEVED!"))))</f>
        <v/>
      </c>
      <c r="T13" s="141" t="str">
        <f t="shared" si="6"/>
        <v/>
      </c>
      <c r="U13" s="141" t="str">
        <f>IF(Dashboard!$E$12="","",IF(ISERROR(D13),"",IF($D13&gt;Dashboard!$E$12,$D13-Dashboard!$E$12,IF($D13="","","Target 3 ACHIEVED!"))))</f>
        <v/>
      </c>
      <c r="V13" s="141" t="str">
        <f t="shared" si="7"/>
        <v/>
      </c>
      <c r="W13" s="141" t="str">
        <f>IF(Dashboard!$E$13="","",IF(ISERROR(D13),"",IF($D13&gt;Dashboard!$E$13,$D13-Dashboard!$E$13,IF($D13="","","Target 4 ACHIEVED!"))))</f>
        <v/>
      </c>
      <c r="X13" s="141" t="str">
        <f t="shared" si="4"/>
        <v/>
      </c>
      <c r="Y13" s="141" t="str">
        <f>IF(ISERROR(D13),"",IF(Dashboard!$E$14="","",IF($D13&gt;Dashboard!$E$14,$D13-Dashboard!$E$14,IF($D13="","","Target ACHIEVED!"))))</f>
        <v/>
      </c>
      <c r="Z13" s="141" t="str">
        <f t="shared" si="5"/>
        <v/>
      </c>
      <c r="AA13" s="154" t="str">
        <f t="shared" si="13"/>
        <v/>
      </c>
    </row>
    <row r="14" spans="1:27" x14ac:dyDescent="0.2">
      <c r="A14" s="144" t="str">
        <f t="shared" si="9"/>
        <v/>
      </c>
      <c r="B14" s="145"/>
      <c r="C14" s="145"/>
      <c r="D14" s="141" t="e">
        <f t="shared" si="10"/>
        <v>#N/A</v>
      </c>
      <c r="E14" s="146" t="str">
        <f t="shared" si="1"/>
        <v/>
      </c>
      <c r="F14" s="146" t="str">
        <f>IF(Dashboard!$E$9="","",Dashboard!$E$9)</f>
        <v/>
      </c>
      <c r="G14" s="146" t="str">
        <f>IF(Dashboard!$E$10="","",Dashboard!$E$10)</f>
        <v/>
      </c>
      <c r="H14" s="146" t="str">
        <f>IF(Dashboard!$E$11="","",Dashboard!$E$11)</f>
        <v/>
      </c>
      <c r="I14" s="146" t="str">
        <f>IF(Dashboard!$E$12="","",Dashboard!$E$12)</f>
        <v/>
      </c>
      <c r="J14" s="146" t="str">
        <f>IF(Dashboard!$E$13="","",Dashboard!$E$13)</f>
        <v/>
      </c>
      <c r="K14" s="146" t="str">
        <f>IF(Dashboard!$E$14="","",Dashboard!$E$14)</f>
        <v/>
      </c>
      <c r="L14" s="146" t="str">
        <f t="shared" si="11"/>
        <v/>
      </c>
      <c r="M14" s="146" t="str">
        <f t="shared" si="8"/>
        <v/>
      </c>
      <c r="N14" s="147" t="str">
        <f>IF(ISERROR(D14),"",(D14*703)/(Dashboard!$E$6*Dashboard!$E$6))</f>
        <v/>
      </c>
      <c r="O14" s="146" t="str">
        <f>IF(ISERROR(D14),"",IF(D14&lt;=Dashboard!$P$5,"Club10 Achieved!",(Dashboard!$P$5-D14)*-1))</f>
        <v/>
      </c>
      <c r="P14" s="146" t="str">
        <f t="shared" si="2"/>
        <v/>
      </c>
      <c r="Q14" s="146" t="str">
        <f>IF(Dashboard!$E$10="","",IF(ISERROR(D14),"",IF($D14&gt;Dashboard!$E$10,$D14-Dashboard!$E$10,IF($D14="","","Target 1 ACHIEVED!"))))</f>
        <v/>
      </c>
      <c r="R14" s="146" t="str">
        <f t="shared" si="3"/>
        <v/>
      </c>
      <c r="S14" s="146" t="str">
        <f>IF(ISERROR(D14),"",IF(Dashboard!$E$11="","",IF($D14&gt;Dashboard!$E$11,$D14-Dashboard!$E$11,IF($D14="","","Target 2 ACHIEVED!"))))</f>
        <v/>
      </c>
      <c r="T14" s="146" t="str">
        <f t="shared" si="6"/>
        <v/>
      </c>
      <c r="U14" s="146" t="str">
        <f>IF(Dashboard!$E$12="","",IF(ISERROR(D14),"",IF($D14&gt;Dashboard!$E$12,$D14-Dashboard!$E$12,IF($D14="","","Target 3 ACHIEVED!"))))</f>
        <v/>
      </c>
      <c r="V14" s="146" t="str">
        <f t="shared" si="7"/>
        <v/>
      </c>
      <c r="W14" s="146" t="str">
        <f>IF(Dashboard!$E$13="","",IF(ISERROR(D14),"",IF($D14&gt;Dashboard!$E$13,$D14-Dashboard!$E$13,IF($D14="","","Target 4 ACHIEVED!"))))</f>
        <v/>
      </c>
      <c r="X14" s="146" t="str">
        <f t="shared" si="4"/>
        <v/>
      </c>
      <c r="Y14" s="146" t="str">
        <f>IF(ISERROR(D14),"",IF(Dashboard!$E$14="","",IF($D14&gt;Dashboard!$E$14,$D14-Dashboard!$E$14,IF($D14="","","Target ACHIEVED!"))))</f>
        <v/>
      </c>
      <c r="Z14" s="146" t="str">
        <f t="shared" si="5"/>
        <v/>
      </c>
      <c r="AA14" s="155" t="str">
        <f t="shared" si="13"/>
        <v/>
      </c>
    </row>
    <row r="15" spans="1:27" x14ac:dyDescent="0.2">
      <c r="A15" s="139" t="str">
        <f>IF(ISERROR(D15),"",A14+7)</f>
        <v/>
      </c>
      <c r="B15" s="140"/>
      <c r="C15" s="140"/>
      <c r="D15" s="141" t="e">
        <f t="shared" si="10"/>
        <v>#N/A</v>
      </c>
      <c r="E15" s="141" t="str">
        <f t="shared" ref="E15:E26" si="14">IF(ISERROR(D15),"",D15)</f>
        <v/>
      </c>
      <c r="F15" s="141" t="str">
        <f>IF(Dashboard!$E$9="","",Dashboard!$E$9)</f>
        <v/>
      </c>
      <c r="G15" s="141" t="str">
        <f>IF(Dashboard!$E$10="","",Dashboard!$E$10)</f>
        <v/>
      </c>
      <c r="H15" s="141" t="str">
        <f>IF(Dashboard!$E$11="","",Dashboard!$E$11)</f>
        <v/>
      </c>
      <c r="I15" s="141" t="str">
        <f>IF(Dashboard!$E$12="","",Dashboard!$E$12)</f>
        <v/>
      </c>
      <c r="J15" s="141" t="str">
        <f>IF(Dashboard!$E$13="","",Dashboard!$E$13)</f>
        <v/>
      </c>
      <c r="K15" s="141" t="str">
        <f>IF(Dashboard!$E$14="","",Dashboard!$E$14)</f>
        <v/>
      </c>
      <c r="L15" s="141" t="str">
        <f>IF(ISERROR(D15),"",D15-D14)</f>
        <v/>
      </c>
      <c r="M15" s="141" t="str">
        <f>IF(B15="","",$D$2-D15)</f>
        <v/>
      </c>
      <c r="N15" s="142" t="str">
        <f>IF(ISERROR(D15),"",(D15*703)/(Dashboard!$E$6*Dashboard!$E$6))</f>
        <v/>
      </c>
      <c r="O15" s="141" t="str">
        <f>IF(ISERROR(D15),"",IF(D15&lt;=Dashboard!$P$5,"Club10 Achieved!",(Dashboard!$P$5-D15)*-1))</f>
        <v/>
      </c>
      <c r="P15" s="141" t="str">
        <f t="shared" ref="P15:P26" si="15">IF(O15="","",IF(O15="Club10 Achieved!","Club10 Achieved!",CONCATENATE(ROUNDDOWN(O15/14,0)," st ",MOD(O15,14)," lbs")))</f>
        <v/>
      </c>
      <c r="Q15" s="141" t="str">
        <f>IF(Dashboard!$E$10="","",IF(ISERROR(D15),"",IF($D15&gt;Dashboard!$E$10,$D15-Dashboard!$E$10,IF($D15="","","Target 1 ACHIEVED!"))))</f>
        <v/>
      </c>
      <c r="R15" s="141" t="str">
        <f t="shared" ref="R15:R26" si="16">IF(Q15="","",IF(Q15="Target 1 ACHIEVED!","Target 1 ACHIEVED!",CONCATENATE(ROUNDDOWN(Q15/14,0)," st ",MOD(Q15,14)," lbs")))</f>
        <v/>
      </c>
      <c r="S15" s="141" t="str">
        <f>IF(ISERROR(D15),"",IF(Dashboard!$E$11="","",IF($D15&gt;Dashboard!$E$11,$D15-Dashboard!$E$11,IF($D15="","","Target 2 ACHIEVED!"))))</f>
        <v/>
      </c>
      <c r="T15" s="141" t="str">
        <f t="shared" ref="T15:T26" si="17">IF(S15="","",IF(S15="Target 2 ACHIEVED!","Target 2 ACHIEVED!",CONCATENATE(ROUNDDOWN(S15/14,0)," st ",MOD(S15,14)," lbs")))</f>
        <v/>
      </c>
      <c r="U15" s="141" t="str">
        <f>IF(Dashboard!$E$12="","",IF(ISERROR(D15),"",IF($D15&gt;Dashboard!$E$12,$D15-Dashboard!$E$12,IF($D15="","","Target 3 ACHIEVED!"))))</f>
        <v/>
      </c>
      <c r="V15" s="141" t="str">
        <f t="shared" ref="V15:V26" si="18">IF(U15="","",IF(U15="Target 3 ACHIEVED!","Target 3 ACHIEVED!",CONCATENATE(ROUNDDOWN(U15/14,0)," st ",MOD(U15,14)," lbs")))</f>
        <v/>
      </c>
      <c r="W15" s="141" t="str">
        <f>IF(Dashboard!$E$13="","",IF(ISERROR(D15),"",IF($D15&gt;Dashboard!$E$13,$D15-Dashboard!$E$13,IF($D15="","","Target 4 ACHIEVED!"))))</f>
        <v/>
      </c>
      <c r="X15" s="141" t="str">
        <f t="shared" ref="X15:X26" si="19">IF(W15="","",IF(W15="Target 4 ACHIEVED!","Target 4 ACHIEVED!",CONCATENATE(ROUNDDOWN(W15/14,0)," st ",MOD(W15,14)," lbs")))</f>
        <v/>
      </c>
      <c r="Y15" s="141" t="str">
        <f>IF(ISERROR(D15),"",IF(Dashboard!$E$14="","",IF($D15&gt;Dashboard!$E$14,$D15-Dashboard!$E$14,IF($D15="","","Target ACHIEVED!"))))</f>
        <v/>
      </c>
      <c r="Z15" s="141" t="str">
        <f t="shared" ref="Z15:Z26" si="20">IF(Y15="","",IF(Y15="Target ACHIEVED!","Target ACHIEVED!",CONCATENATE(ROUNDDOWN(Y15/14,0)," st ",MOD(Y15,14)," lbs")))</f>
        <v/>
      </c>
      <c r="AA15" s="154" t="str">
        <f>IF((AND(M15&lt;=202.5,M15&gt;=196)),"14 STONE",
 IF((AND(M15&lt;=195.5,M15&gt;=189)),"13.5 STONE",
 IF((AND(M15&lt;=188.5,M15&gt;=182)),"13 STONE",
 IF((AND(M15&lt;=181.5,M15&gt;=175)),"12.5 STONE",
 IF((AND(M15&lt;=174.5,M15&gt;=168)),"12 STONE",
 IF((AND(M15&lt;=167.5,M15&gt;=161)),"11.5 STONE",
 IF((AND(M15&lt;=160.5,M15&gt;=154)),"11 STONE",
 IF((AND(M15&lt;=153.5,M15&gt;=147)),"10.5 STONE",
 IF((AND(M15&lt;=146.5,M15&gt;=140)),"10 STONE",
 IF((AND(M15&lt;=139.5,M15&gt;=133)),"9.5 STONE",
 IF((AND(M15&lt;=132.5,M15&gt;=126)),"9 STONE",
 IF((AND(M15&lt;=125.5,M15&gt;=119)),"8.5 STONE",
 IF((AND(M15&lt;=118.5,M15&gt;=112)),"8 STONE",
 IF((AND(M15&lt;=111.5,M15&gt;=105)),"7.5 STONE",
 IF((AND(M15&lt;=104.5,M15&gt;=98)),"7 STONE",
 IF((AND(M15&lt;=97.5,M15&gt;=91)),"6.5 STONE",
 IF((AND(M15&lt;=90.5,M15&gt;=84)),"6 STONE",
 IF((AND(M15&lt;=83.5,M15&gt;=77)),"5.5 STONE",
 IF((AND(M15&lt;=76.5,M15&gt;=70)),"5 STONE",
 IF((AND(M15&lt;=69.5,M15&gt;=63)),"4.5 STONE",
 IF((AND(M15&lt;=62.5,M15&gt;=56)),"4 STONE",
 IF((AND(M15&lt;=55.5,M15&gt;=49)),"3.5 STONE",
 IF((AND(M15&lt;=48.5,M15&gt;=42)),"3 STONE",
 IF((AND(M15&lt;=41.5,M15&gt;=35)),"2.5 STONE",
 IF((AND(M15&lt;=34.5,M15&gt;=28)),"2 STONE",
 IF((AND(M15&lt;=27.5,M15&gt;=21)),"1.5 STONE",
 IF((AND(M15&lt;=20.5,M15&gt;=14)),"1 STONE",
 IF((AND(M15&lt;=13.5,M15&gt;=7)),"0.5 STONE",
 IF((AND(M15&lt;=6.5,M15&gt;=0)),"",
 "")))))))))))))))))))))))))))))</f>
        <v/>
      </c>
    </row>
    <row r="16" spans="1:27" x14ac:dyDescent="0.2">
      <c r="A16" s="135" t="str">
        <f>IF(ISERROR(D16),"",A15+7)</f>
        <v/>
      </c>
      <c r="B16" s="136"/>
      <c r="C16" s="136"/>
      <c r="D16" s="137" t="e">
        <f>IF(B16="",NA(),(B16*14)+C16)</f>
        <v>#N/A</v>
      </c>
      <c r="E16" s="137" t="str">
        <f t="shared" si="14"/>
        <v/>
      </c>
      <c r="F16" s="137" t="str">
        <f>IF(Dashboard!$E$9="","",Dashboard!$E$9)</f>
        <v/>
      </c>
      <c r="G16" s="137" t="str">
        <f>IF(Dashboard!$E$10="","",Dashboard!$E$10)</f>
        <v/>
      </c>
      <c r="H16" s="137" t="str">
        <f>IF(Dashboard!$E$11="","",Dashboard!$E$11)</f>
        <v/>
      </c>
      <c r="I16" s="137" t="str">
        <f>IF(Dashboard!$E$12="","",Dashboard!$E$12)</f>
        <v/>
      </c>
      <c r="J16" s="137" t="str">
        <f>IF(Dashboard!$E$13="","",Dashboard!$E$13)</f>
        <v/>
      </c>
      <c r="K16" s="137" t="str">
        <f>IF(Dashboard!$E$14="","",Dashboard!$E$14)</f>
        <v/>
      </c>
      <c r="L16" s="137" t="str">
        <f>IF(ISERROR(D16),"",D16-D15)</f>
        <v/>
      </c>
      <c r="M16" s="137" t="str">
        <f t="shared" ref="M16:M26" si="21">IF(B16="","",$D$2-D16)</f>
        <v/>
      </c>
      <c r="N16" s="138" t="str">
        <f>IF(ISERROR(D16),"",(D16*703)/(Dashboard!$E$6*Dashboard!$E$6))</f>
        <v/>
      </c>
      <c r="O16" s="137" t="str">
        <f>IF(ISERROR(D16),"",IF(D16&lt;=Dashboard!$P$5,"Club10 Achieved!",(Dashboard!$P$5-D16)*-1))</f>
        <v/>
      </c>
      <c r="P16" s="137" t="str">
        <f t="shared" si="15"/>
        <v/>
      </c>
      <c r="Q16" s="137" t="str">
        <f>IF(Dashboard!$E$10="","",IF(ISERROR(D16),"",IF($D16&gt;Dashboard!$E$10,$D16-Dashboard!$E$10,IF($D16="","","Target 1 ACHIEVED!"))))</f>
        <v/>
      </c>
      <c r="R16" s="137" t="str">
        <f t="shared" si="16"/>
        <v/>
      </c>
      <c r="S16" s="137" t="str">
        <f>IF(ISERROR(D16),"",IF(Dashboard!$E$11="","",IF($D16&gt;Dashboard!$E$11,$D16-Dashboard!$E$11,IF($D16="","","Target 2 ACHIEVED!"))))</f>
        <v/>
      </c>
      <c r="T16" s="137" t="str">
        <f t="shared" si="17"/>
        <v/>
      </c>
      <c r="U16" s="137" t="str">
        <f>IF(Dashboard!$E$12="","",IF(ISERROR(D16),"",IF($D16&gt;Dashboard!$E$12,$D16-Dashboard!$E$12,IF($D16="","","Target 3 ACHIEVED!"))))</f>
        <v/>
      </c>
      <c r="V16" s="137" t="str">
        <f t="shared" si="18"/>
        <v/>
      </c>
      <c r="W16" s="137" t="str">
        <f>IF(Dashboard!$E$13="","",IF(ISERROR(D16),"",IF($D16&gt;Dashboard!$E$13,$D16-Dashboard!$E$13,IF($D16="","","Target 4 ACHIEVED!"))))</f>
        <v/>
      </c>
      <c r="X16" s="137" t="str">
        <f t="shared" si="19"/>
        <v/>
      </c>
      <c r="Y16" s="137" t="str">
        <f>IF(ISERROR(D16),"",IF(Dashboard!$E$14="","",IF($D16&gt;Dashboard!$E$14,$D16-Dashboard!$E$14,IF($D16="","","Target ACHIEVED!"))))</f>
        <v/>
      </c>
      <c r="Z16" s="137" t="str">
        <f t="shared" si="20"/>
        <v/>
      </c>
      <c r="AA16" s="153" t="str">
        <f>IF((AND(M16&lt;=202.5,M16&gt;=196)),"14 STONE",
 IF((AND(M16&lt;=195.5,M16&gt;=189)),"13.5 STONE",
 IF((AND(M16&lt;=188.5,M16&gt;=182)),"13 STONE",
 IF((AND(M16&lt;=181.5,M16&gt;=175)),"12.5 STONE",
 IF((AND(M16&lt;=174.5,M16&gt;=168)),"12 STONE",
 IF((AND(M16&lt;=167.5,M16&gt;=161)),"11.5 STONE",
 IF((AND(M16&lt;=160.5,M16&gt;=154)),"11 STONE",
 IF((AND(M16&lt;=153.5,M16&gt;=147)),"10.5 STONE",
 IF((AND(M16&lt;=146.5,M16&gt;=140)),"10 STONE",
 IF((AND(M16&lt;=139.5,M16&gt;=133)),"9.5 STONE",
 IF((AND(M16&lt;=132.5,M16&gt;=126)),"9 STONE",
 IF((AND(M16&lt;=125.5,M16&gt;=119)),"8.5 STONE",
 IF((AND(M16&lt;=118.5,M16&gt;=112)),"8 STONE",
 IF((AND(M16&lt;=111.5,M16&gt;=105)),"7.5 STONE",
 IF((AND(M16&lt;=104.5,M16&gt;=98)),"7 STONE",
 IF((AND(M16&lt;=97.5,M16&gt;=91)),"6.5 STONE",
 IF((AND(M16&lt;=90.5,M16&gt;=84)),"6 STONE",
 IF((AND(M16&lt;=83.5,M16&gt;=77)),"5.5 STONE",
 IF((AND(M16&lt;=76.5,M16&gt;=70)),"5 STONE",
 IF((AND(M16&lt;=69.5,M16&gt;=63)),"4.5 STONE",
 IF((AND(M16&lt;=62.5,M16&gt;=56)),"4 STONE",
 IF((AND(M16&lt;=55.5,M16&gt;=49)),"3.5 STONE",
 IF((AND(M16&lt;=48.5,M16&gt;=42)),"3 STONE",
 IF((AND(M16&lt;=41.5,M16&gt;=35)),"2.5 STONE",
 IF((AND(M16&lt;=34.5,M16&gt;=28)),"2 STONE",
 IF((AND(M16&lt;=27.5,M16&gt;=21)),"1.5 STONE",
 IF((AND(M16&lt;=20.5,M16&gt;=14)),"1 STONE",
 IF((AND(M16&lt;=13.5,M16&gt;=7)),"0.5 STONE",
 IF((AND(M16&lt;=6.5,M16&gt;=0)),"",
 "")))))))))))))))))))))))))))))</f>
        <v/>
      </c>
    </row>
    <row r="17" spans="1:27" x14ac:dyDescent="0.2">
      <c r="A17" s="139" t="str">
        <f t="shared" ref="A17:A26" si="22">IF(ISERROR(D17),"",A16+7)</f>
        <v/>
      </c>
      <c r="B17" s="140"/>
      <c r="C17" s="140"/>
      <c r="D17" s="141" t="e">
        <f t="shared" ref="D17:D27" si="23">IF(B17="",NA(),(B17*14)+C17)</f>
        <v>#N/A</v>
      </c>
      <c r="E17" s="141" t="str">
        <f t="shared" si="14"/>
        <v/>
      </c>
      <c r="F17" s="141" t="str">
        <f>IF(Dashboard!$E$9="","",Dashboard!$E$9)</f>
        <v/>
      </c>
      <c r="G17" s="141" t="str">
        <f>IF(Dashboard!$E$10="","",Dashboard!$E$10)</f>
        <v/>
      </c>
      <c r="H17" s="141" t="str">
        <f>IF(Dashboard!$E$11="","",Dashboard!$E$11)</f>
        <v/>
      </c>
      <c r="I17" s="141" t="str">
        <f>IF(Dashboard!$E$12="","",Dashboard!$E$12)</f>
        <v/>
      </c>
      <c r="J17" s="141" t="str">
        <f>IF(Dashboard!$E$13="","",Dashboard!$E$13)</f>
        <v/>
      </c>
      <c r="K17" s="141" t="str">
        <f>IF(Dashboard!$E$14="","",Dashboard!$E$14)</f>
        <v/>
      </c>
      <c r="L17" s="141" t="str">
        <f t="shared" ref="L17:L26" si="24">IF(ISERROR(D17),"",D17-D16)</f>
        <v/>
      </c>
      <c r="M17" s="141" t="str">
        <f t="shared" si="21"/>
        <v/>
      </c>
      <c r="N17" s="142" t="str">
        <f>IF(ISERROR(D17),"",(D17*703)/(Dashboard!$E$6*Dashboard!$E$6))</f>
        <v/>
      </c>
      <c r="O17" s="141" t="str">
        <f>IF(ISERROR(D17),"",IF(D17&lt;=Dashboard!$P$5,"Club10 Achieved!",(Dashboard!$P$5-D17)*-1))</f>
        <v/>
      </c>
      <c r="P17" s="141" t="str">
        <f t="shared" si="15"/>
        <v/>
      </c>
      <c r="Q17" s="141" t="str">
        <f>IF(Dashboard!$E$10="","",IF(ISERROR(D17),"",IF($D17&gt;Dashboard!$E$10,$D17-Dashboard!$E$10,IF($D17="","","Target 1 ACHIEVED!"))))</f>
        <v/>
      </c>
      <c r="R17" s="141" t="str">
        <f t="shared" si="16"/>
        <v/>
      </c>
      <c r="S17" s="141" t="str">
        <f>IF(ISERROR(D17),"",IF(Dashboard!$E$11="","",IF($D17&gt;Dashboard!$E$11,$D17-Dashboard!$E$11,IF($D17="","","Target 2 ACHIEVED!"))))</f>
        <v/>
      </c>
      <c r="T17" s="141" t="str">
        <f t="shared" si="17"/>
        <v/>
      </c>
      <c r="U17" s="141" t="str">
        <f>IF(Dashboard!$E$12="","",IF(ISERROR(D17),"",IF($D17&gt;Dashboard!$E$12,$D17-Dashboard!$E$12,IF($D17="","","Target 3 ACHIEVED!"))))</f>
        <v/>
      </c>
      <c r="V17" s="141" t="str">
        <f t="shared" si="18"/>
        <v/>
      </c>
      <c r="W17" s="141" t="str">
        <f>IF(Dashboard!$E$13="","",IF(ISERROR(D17),"",IF($D17&gt;Dashboard!$E$13,$D17-Dashboard!$E$13,IF($D17="","","Target 4 ACHIEVED!"))))</f>
        <v/>
      </c>
      <c r="X17" s="141" t="str">
        <f t="shared" si="19"/>
        <v/>
      </c>
      <c r="Y17" s="141" t="str">
        <f>IF(ISERROR(D17),"",IF(Dashboard!$E$14="","",IF($D17&gt;Dashboard!$E$14,$D17-Dashboard!$E$14,IF($D17="","","Target ACHIEVED!"))))</f>
        <v/>
      </c>
      <c r="Z17" s="141" t="str">
        <f t="shared" si="20"/>
        <v/>
      </c>
      <c r="AA17" s="154" t="str">
        <f>IF((AND(M17&lt;=202.5,M17&gt;=196)),"14 STONE",
 IF((AND(M17&lt;=195.5,M17&gt;=189)),"13.5 STONE",
 IF((AND(M17&lt;=188.5,M17&gt;=182)),"13 STONE",
 IF((AND(M17&lt;=181.5,M17&gt;=175)),"12.5 STONE",
 IF((AND(M17&lt;=174.5,M17&gt;=168)),"12 STONE",
 IF((AND(M17&lt;=167.5,M17&gt;=161)),"11.5 STONE",
 IF((AND(M17&lt;=160.5,M17&gt;=154)),"11 STONE",
 IF((AND(M17&lt;=153.5,M17&gt;=147)),"10.5 STONE",
 IF((AND(M17&lt;=146.5,M17&gt;=140)),"10 STONE",
 IF((AND(M17&lt;=139.5,M17&gt;=133)),"9.5 STONE",
 IF((AND(M17&lt;=132.5,M17&gt;=126)),"9 STONE",
 IF((AND(M17&lt;=125.5,M17&gt;=119)),"8.5 STONE",
 IF((AND(M17&lt;=118.5,M17&gt;=112)),"8 STONE",
 IF((AND(M17&lt;=111.5,M17&gt;=105)),"7.5 STONE",
 IF((AND(M17&lt;=104.5,M17&gt;=98)),"7 STONE",
 IF((AND(M17&lt;=97.5,M17&gt;=91)),"6.5 STONE",
 IF((AND(M17&lt;=90.5,M17&gt;=84)),"6 STONE",
 IF((AND(M17&lt;=83.5,M17&gt;=77)),"5.5 STONE",
 IF((AND(M17&lt;=76.5,M17&gt;=70)),"5 STONE",
 IF((AND(M17&lt;=69.5,M17&gt;=63)),"4.5 STONE",
 IF((AND(M17&lt;=62.5,M17&gt;=56)),"4 STONE",
 IF((AND(M17&lt;=55.5,M17&gt;=49)),"3.5 STONE",
 IF((AND(M17&lt;=48.5,M17&gt;=42)),"3 STONE",
 IF((AND(M17&lt;=41.5,M17&gt;=35)),"2.5 STONE",
 IF((AND(M17&lt;=34.5,M17&gt;=28)),"2 STONE",
 IF((AND(M17&lt;=27.5,M17&gt;=21)),"1.5 STONE",
 IF((AND(M17&lt;=20.5,M17&gt;=14)),"1 STONE",
 IF((AND(M17&lt;=13.5,M17&gt;=7)),"0.5 STONE",
 IF((AND(M17&lt;=6.5,M17&gt;=0)),"",
 "")))))))))))))))))))))))))))))</f>
        <v/>
      </c>
    </row>
    <row r="18" spans="1:27" x14ac:dyDescent="0.2">
      <c r="A18" s="135" t="str">
        <f t="shared" si="22"/>
        <v/>
      </c>
      <c r="B18" s="136"/>
      <c r="C18" s="136"/>
      <c r="D18" s="137" t="e">
        <f t="shared" si="23"/>
        <v>#N/A</v>
      </c>
      <c r="E18" s="137" t="str">
        <f t="shared" si="14"/>
        <v/>
      </c>
      <c r="F18" s="137" t="str">
        <f>IF(Dashboard!$E$9="","",Dashboard!$E$9)</f>
        <v/>
      </c>
      <c r="G18" s="137" t="str">
        <f>IF(Dashboard!$E$10="","",Dashboard!$E$10)</f>
        <v/>
      </c>
      <c r="H18" s="137" t="str">
        <f>IF(Dashboard!$E$11="","",Dashboard!$E$11)</f>
        <v/>
      </c>
      <c r="I18" s="137" t="str">
        <f>IF(Dashboard!$E$12="","",Dashboard!$E$12)</f>
        <v/>
      </c>
      <c r="J18" s="137" t="str">
        <f>IF(Dashboard!$E$13="","",Dashboard!$E$13)</f>
        <v/>
      </c>
      <c r="K18" s="137" t="str">
        <f>IF(Dashboard!$E$14="","",Dashboard!$E$14)</f>
        <v/>
      </c>
      <c r="L18" s="137" t="str">
        <f t="shared" si="24"/>
        <v/>
      </c>
      <c r="M18" s="137" t="str">
        <f t="shared" si="21"/>
        <v/>
      </c>
      <c r="N18" s="138" t="str">
        <f>IF(ISERROR(D18),"",(D18*703)/(Dashboard!$E$6*Dashboard!$E$6))</f>
        <v/>
      </c>
      <c r="O18" s="137" t="str">
        <f>IF(ISERROR(D18),"",IF(D18&lt;=Dashboard!$P$5,"Club10 Achieved!",(Dashboard!$P$5-D18)*-1))</f>
        <v/>
      </c>
      <c r="P18" s="137" t="str">
        <f t="shared" si="15"/>
        <v/>
      </c>
      <c r="Q18" s="137" t="str">
        <f>IF(Dashboard!$E$10="","",IF(ISERROR(D18),"",IF($D18&gt;Dashboard!$E$10,$D18-Dashboard!$E$10,IF($D18="","","Target 1 ACHIEVED!"))))</f>
        <v/>
      </c>
      <c r="R18" s="137" t="str">
        <f t="shared" si="16"/>
        <v/>
      </c>
      <c r="S18" s="137" t="str">
        <f>IF(ISERROR(D18),"",IF(Dashboard!$E$11="","",IF($D18&gt;Dashboard!$E$11,$D18-Dashboard!$E$11,IF($D18="","","Target 2 ACHIEVED!"))))</f>
        <v/>
      </c>
      <c r="T18" s="137" t="str">
        <f t="shared" si="17"/>
        <v/>
      </c>
      <c r="U18" s="137" t="str">
        <f>IF(Dashboard!$E$12="","",IF(ISERROR(D18),"",IF($D18&gt;Dashboard!$E$12,$D18-Dashboard!$E$12,IF($D18="","","Target 3 ACHIEVED!"))))</f>
        <v/>
      </c>
      <c r="V18" s="137" t="str">
        <f t="shared" si="18"/>
        <v/>
      </c>
      <c r="W18" s="137" t="str">
        <f>IF(Dashboard!$E$13="","",IF(ISERROR(D18),"",IF($D18&gt;Dashboard!$E$13,$D18-Dashboard!$E$13,IF($D18="","","Target 4 ACHIEVED!"))))</f>
        <v/>
      </c>
      <c r="X18" s="137" t="str">
        <f t="shared" si="19"/>
        <v/>
      </c>
      <c r="Y18" s="137" t="str">
        <f>IF(ISERROR(D18),"",IF(Dashboard!$E$14="","",IF($D18&gt;Dashboard!$E$14,$D18-Dashboard!$E$14,IF($D18="","","Target ACHIEVED!"))))</f>
        <v/>
      </c>
      <c r="Z18" s="137" t="str">
        <f t="shared" si="20"/>
        <v/>
      </c>
      <c r="AA18" s="153" t="str">
        <f t="shared" ref="AA18:AA26" si="25">IF((AND(M18&lt;=202.5,M18&gt;=196)),"14 STONE",
 IF((AND(M18&lt;=195.5,M18&gt;=189)),"13.5 STONE",
 IF((AND(M18&lt;=188.5,M18&gt;=182)),"13 STONE",
 IF((AND(M18&lt;=181.5,M18&gt;=175)),"12.5 STONE",
 IF((AND(M18&lt;=174.5,M18&gt;=168)),"12 STONE",
 IF((AND(M18&lt;=167.5,M18&gt;=161)),"11.5 STONE",
 IF((AND(M18&lt;=160.5,M18&gt;=154)),"11 STONE",
 IF((AND(M18&lt;=153.5,M18&gt;=147)),"10.5 STONE",
 IF((AND(M18&lt;=146.5,M18&gt;=140)),"10 STONE",
 IF((AND(M18&lt;=139.5,M18&gt;=133)),"9.5 STONE",
 IF((AND(M18&lt;=132.5,M18&gt;=126)),"9 STONE",
 IF((AND(M18&lt;=125.5,M18&gt;=119)),"8.5 STONE",
 IF((AND(M18&lt;=118.5,M18&gt;=112)),"8 STONE",
 IF((AND(M18&lt;=111.5,M18&gt;=105)),"7.5 STONE",
 IF((AND(M18&lt;=104.5,M18&gt;=98)),"7 STONE",
 IF((AND(M18&lt;=97.5,M18&gt;=91)),"6.5 STONE",
 IF((AND(M18&lt;=90.5,M18&gt;=84)),"6 STONE",
 IF((AND(M18&lt;=83.5,M18&gt;=77)),"5.5 STONE",
 IF((AND(M18&lt;=76.5,M18&gt;=70)),"5 STONE",
 IF((AND(M18&lt;=69.5,M18&gt;=63)),"4.5 STONE",
 IF((AND(M18&lt;=62.5,M18&gt;=56)),"4 STONE",
 IF((AND(M18&lt;=55.5,M18&gt;=49)),"3.5 STONE",
 IF((AND(M18&lt;=48.5,M18&gt;=42)),"3 STONE",
 IF((AND(M18&lt;=41.5,M18&gt;=35)),"2.5 STONE",
 IF((AND(M18&lt;=34.5,M18&gt;=28)),"2 STONE",
 IF((AND(M18&lt;=27.5,M18&gt;=21)),"1.5 STONE",
 IF((AND(M18&lt;=20.5,M18&gt;=14)),"1 STONE",
 IF((AND(M18&lt;=13.5,M18&gt;=7)),"0.5 STONE",
 IF((AND(M18&lt;=6.5,M18&gt;=0)),"",
 "")))))))))))))))))))))))))))))</f>
        <v/>
      </c>
    </row>
    <row r="19" spans="1:27" x14ac:dyDescent="0.2">
      <c r="A19" s="139" t="str">
        <f t="shared" si="22"/>
        <v/>
      </c>
      <c r="B19" s="140"/>
      <c r="C19" s="140"/>
      <c r="D19" s="141" t="e">
        <f t="shared" si="23"/>
        <v>#N/A</v>
      </c>
      <c r="E19" s="141" t="str">
        <f t="shared" si="14"/>
        <v/>
      </c>
      <c r="F19" s="141" t="str">
        <f>IF(Dashboard!$E$9="","",Dashboard!$E$9)</f>
        <v/>
      </c>
      <c r="G19" s="141" t="str">
        <f>IF(Dashboard!$E$10="","",Dashboard!$E$10)</f>
        <v/>
      </c>
      <c r="H19" s="141" t="str">
        <f>IF(Dashboard!$E$11="","",Dashboard!$E$11)</f>
        <v/>
      </c>
      <c r="I19" s="141" t="str">
        <f>IF(Dashboard!$E$12="","",Dashboard!$E$12)</f>
        <v/>
      </c>
      <c r="J19" s="141" t="str">
        <f>IF(Dashboard!$E$13="","",Dashboard!$E$13)</f>
        <v/>
      </c>
      <c r="K19" s="141" t="str">
        <f>IF(Dashboard!$E$14="","",Dashboard!$E$14)</f>
        <v/>
      </c>
      <c r="L19" s="141" t="str">
        <f t="shared" si="24"/>
        <v/>
      </c>
      <c r="M19" s="141" t="str">
        <f t="shared" si="21"/>
        <v/>
      </c>
      <c r="N19" s="142" t="str">
        <f>IF(ISERROR(D19),"",(D19*703)/(Dashboard!$E$6*Dashboard!$E$6))</f>
        <v/>
      </c>
      <c r="O19" s="141" t="str">
        <f>IF(ISERROR(D19),"",IF(D19&lt;=Dashboard!$P$5,"Club10 Achieved!",(Dashboard!$P$5-D19)*-1))</f>
        <v/>
      </c>
      <c r="P19" s="141" t="str">
        <f t="shared" si="15"/>
        <v/>
      </c>
      <c r="Q19" s="141" t="str">
        <f>IF(Dashboard!$E$10="","",IF(ISERROR(D19),"",IF($D19&gt;Dashboard!$E$10,$D19-Dashboard!$E$10,IF($D19="","","Target 1 ACHIEVED!"))))</f>
        <v/>
      </c>
      <c r="R19" s="141" t="str">
        <f t="shared" si="16"/>
        <v/>
      </c>
      <c r="S19" s="141" t="str">
        <f>IF(ISERROR(D19),"",IF(Dashboard!$E$11="","",IF($D19&gt;Dashboard!$E$11,$D19-Dashboard!$E$11,IF($D19="","","Target 2 ACHIEVED!"))))</f>
        <v/>
      </c>
      <c r="T19" s="141" t="str">
        <f t="shared" si="17"/>
        <v/>
      </c>
      <c r="U19" s="141" t="str">
        <f>IF(Dashboard!$E$12="","",IF(ISERROR(D19),"",IF($D19&gt;Dashboard!$E$12,$D19-Dashboard!$E$12,IF($D19="","","Target 3 ACHIEVED!"))))</f>
        <v/>
      </c>
      <c r="V19" s="141" t="str">
        <f t="shared" si="18"/>
        <v/>
      </c>
      <c r="W19" s="141" t="str">
        <f>IF(Dashboard!$E$13="","",IF(ISERROR(D19),"",IF($D19&gt;Dashboard!$E$13,$D19-Dashboard!$E$13,IF($D19="","","Target 4 ACHIEVED!"))))</f>
        <v/>
      </c>
      <c r="X19" s="141" t="str">
        <f t="shared" si="19"/>
        <v/>
      </c>
      <c r="Y19" s="141" t="str">
        <f>IF(ISERROR(D19),"",IF(Dashboard!$E$14="","",IF($D19&gt;Dashboard!$E$14,$D19-Dashboard!$E$14,IF($D19="","","Target ACHIEVED!"))))</f>
        <v/>
      </c>
      <c r="Z19" s="141" t="str">
        <f t="shared" si="20"/>
        <v/>
      </c>
      <c r="AA19" s="154" t="str">
        <f t="shared" si="25"/>
        <v/>
      </c>
    </row>
    <row r="20" spans="1:27" s="143" customFormat="1" x14ac:dyDescent="0.2">
      <c r="A20" s="135" t="str">
        <f t="shared" si="22"/>
        <v/>
      </c>
      <c r="B20" s="136"/>
      <c r="C20" s="136"/>
      <c r="D20" s="137" t="e">
        <f t="shared" si="23"/>
        <v>#N/A</v>
      </c>
      <c r="E20" s="137" t="str">
        <f t="shared" si="14"/>
        <v/>
      </c>
      <c r="F20" s="137" t="str">
        <f>IF(Dashboard!$E$9="","",Dashboard!$E$9)</f>
        <v/>
      </c>
      <c r="G20" s="137" t="str">
        <f>IF(Dashboard!$E$10="","",Dashboard!$E$10)</f>
        <v/>
      </c>
      <c r="H20" s="137" t="str">
        <f>IF(Dashboard!$E$11="","",Dashboard!$E$11)</f>
        <v/>
      </c>
      <c r="I20" s="137" t="str">
        <f>IF(Dashboard!$E$12="","",Dashboard!$E$12)</f>
        <v/>
      </c>
      <c r="J20" s="137" t="str">
        <f>IF(Dashboard!$E$13="","",Dashboard!$E$13)</f>
        <v/>
      </c>
      <c r="K20" s="137" t="str">
        <f>IF(Dashboard!$E$14="","",Dashboard!$E$14)</f>
        <v/>
      </c>
      <c r="L20" s="137" t="str">
        <f t="shared" si="24"/>
        <v/>
      </c>
      <c r="M20" s="137" t="str">
        <f t="shared" si="21"/>
        <v/>
      </c>
      <c r="N20" s="138" t="str">
        <f>IF(ISERROR(D20),"",(D20*703)/(Dashboard!$E$6*Dashboard!$E$6))</f>
        <v/>
      </c>
      <c r="O20" s="137" t="str">
        <f>IF(ISERROR(D20),"",IF(D20&lt;=Dashboard!$P$5,"Club10 Achieved!",(Dashboard!$P$5-D20)*-1))</f>
        <v/>
      </c>
      <c r="P20" s="137" t="str">
        <f t="shared" si="15"/>
        <v/>
      </c>
      <c r="Q20" s="137" t="str">
        <f>IF(Dashboard!$E$10="","",IF(ISERROR(D20),"",IF($D20&gt;Dashboard!$E$10,$D20-Dashboard!$E$10,IF($D20="","","Target 1 ACHIEVED!"))))</f>
        <v/>
      </c>
      <c r="R20" s="137" t="str">
        <f t="shared" si="16"/>
        <v/>
      </c>
      <c r="S20" s="137" t="str">
        <f>IF(ISERROR(D20),"",IF(Dashboard!$E$11="","",IF($D20&gt;Dashboard!$E$11,$D20-Dashboard!$E$11,IF($D20="","","Target 2 ACHIEVED!"))))</f>
        <v/>
      </c>
      <c r="T20" s="137" t="str">
        <f t="shared" si="17"/>
        <v/>
      </c>
      <c r="U20" s="137" t="str">
        <f>IF(Dashboard!$E$12="","",IF(ISERROR(D20),"",IF($D20&gt;Dashboard!$E$12,$D20-Dashboard!$E$12,IF($D20="","","Target 3 ACHIEVED!"))))</f>
        <v/>
      </c>
      <c r="V20" s="137" t="str">
        <f t="shared" si="18"/>
        <v/>
      </c>
      <c r="W20" s="137" t="str">
        <f>IF(Dashboard!$E$13="","",IF(ISERROR(D20),"",IF($D20&gt;Dashboard!$E$13,$D20-Dashboard!$E$13,IF($D20="","","Target 4 ACHIEVED!"))))</f>
        <v/>
      </c>
      <c r="X20" s="137" t="str">
        <f t="shared" si="19"/>
        <v/>
      </c>
      <c r="Y20" s="137" t="str">
        <f>IF(ISERROR(D20),"",IF(Dashboard!$E$14="","",IF($D20&gt;Dashboard!$E$14,$D20-Dashboard!$E$14,IF($D20="","","Target ACHIEVED!"))))</f>
        <v/>
      </c>
      <c r="Z20" s="137" t="str">
        <f t="shared" si="20"/>
        <v/>
      </c>
      <c r="AA20" s="153" t="str">
        <f t="shared" si="25"/>
        <v/>
      </c>
    </row>
    <row r="21" spans="1:27" x14ac:dyDescent="0.2">
      <c r="A21" s="139" t="str">
        <f t="shared" si="22"/>
        <v/>
      </c>
      <c r="B21" s="140"/>
      <c r="C21" s="140"/>
      <c r="D21" s="141" t="e">
        <f t="shared" si="23"/>
        <v>#N/A</v>
      </c>
      <c r="E21" s="141" t="str">
        <f t="shared" si="14"/>
        <v/>
      </c>
      <c r="F21" s="141" t="str">
        <f>IF(Dashboard!$E$9="","",Dashboard!$E$9)</f>
        <v/>
      </c>
      <c r="G21" s="141" t="str">
        <f>IF(Dashboard!$E$10="","",Dashboard!$E$10)</f>
        <v/>
      </c>
      <c r="H21" s="141" t="str">
        <f>IF(Dashboard!$E$11="","",Dashboard!$E$11)</f>
        <v/>
      </c>
      <c r="I21" s="141" t="str">
        <f>IF(Dashboard!$E$12="","",Dashboard!$E$12)</f>
        <v/>
      </c>
      <c r="J21" s="141" t="str">
        <f>IF(Dashboard!$E$13="","",Dashboard!$E$13)</f>
        <v/>
      </c>
      <c r="K21" s="141" t="str">
        <f>IF(Dashboard!$E$14="","",Dashboard!$E$14)</f>
        <v/>
      </c>
      <c r="L21" s="141" t="str">
        <f t="shared" si="24"/>
        <v/>
      </c>
      <c r="M21" s="141" t="str">
        <f t="shared" si="21"/>
        <v/>
      </c>
      <c r="N21" s="142" t="str">
        <f>IF(ISERROR(D21),"",(D21*703)/(Dashboard!$E$6*Dashboard!$E$6))</f>
        <v/>
      </c>
      <c r="O21" s="141" t="str">
        <f>IF(ISERROR(D21),"",IF(D21&lt;=Dashboard!$P$5,"Club10 Achieved!",(Dashboard!$P$5-D21)*-1))</f>
        <v/>
      </c>
      <c r="P21" s="141" t="str">
        <f t="shared" si="15"/>
        <v/>
      </c>
      <c r="Q21" s="141" t="str">
        <f>IF(Dashboard!$E$10="","",IF(ISERROR(D21),"",IF($D21&gt;Dashboard!$E$10,$D21-Dashboard!$E$10,IF($D21="","","Target 1 ACHIEVED!"))))</f>
        <v/>
      </c>
      <c r="R21" s="141" t="str">
        <f t="shared" si="16"/>
        <v/>
      </c>
      <c r="S21" s="141" t="str">
        <f>IF(ISERROR(D21),"",IF(Dashboard!$E$11="","",IF($D21&gt;Dashboard!$E$11,$D21-Dashboard!$E$11,IF($D21="","","Target 2 ACHIEVED!"))))</f>
        <v/>
      </c>
      <c r="T21" s="141" t="str">
        <f t="shared" si="17"/>
        <v/>
      </c>
      <c r="U21" s="141" t="str">
        <f>IF(Dashboard!$E$12="","",IF(ISERROR(D21),"",IF($D21&gt;Dashboard!$E$12,$D21-Dashboard!$E$12,IF($D21="","","Target 3 ACHIEVED!"))))</f>
        <v/>
      </c>
      <c r="V21" s="141" t="str">
        <f t="shared" si="18"/>
        <v/>
      </c>
      <c r="W21" s="141" t="str">
        <f>IF(Dashboard!$E$13="","",IF(ISERROR(D21),"",IF($D21&gt;Dashboard!$E$13,$D21-Dashboard!$E$13,IF($D21="","","Target 4 ACHIEVED!"))))</f>
        <v/>
      </c>
      <c r="X21" s="141" t="str">
        <f t="shared" si="19"/>
        <v/>
      </c>
      <c r="Y21" s="141" t="str">
        <f>IF(ISERROR(D21),"",IF(Dashboard!$E$14="","",IF($D21&gt;Dashboard!$E$14,$D21-Dashboard!$E$14,IF($D21="","","Target ACHIEVED!"))))</f>
        <v/>
      </c>
      <c r="Z21" s="141" t="str">
        <f t="shared" si="20"/>
        <v/>
      </c>
      <c r="AA21" s="154" t="str">
        <f t="shared" si="25"/>
        <v/>
      </c>
    </row>
    <row r="22" spans="1:27" x14ac:dyDescent="0.2">
      <c r="A22" s="135" t="str">
        <f t="shared" si="22"/>
        <v/>
      </c>
      <c r="B22" s="136"/>
      <c r="C22" s="136"/>
      <c r="D22" s="137" t="e">
        <f t="shared" si="23"/>
        <v>#N/A</v>
      </c>
      <c r="E22" s="137" t="str">
        <f t="shared" si="14"/>
        <v/>
      </c>
      <c r="F22" s="137" t="str">
        <f>IF(Dashboard!$E$9="","",Dashboard!$E$9)</f>
        <v/>
      </c>
      <c r="G22" s="137" t="str">
        <f>IF(Dashboard!$E$10="","",Dashboard!$E$10)</f>
        <v/>
      </c>
      <c r="H22" s="137" t="str">
        <f>IF(Dashboard!$E$11="","",Dashboard!$E$11)</f>
        <v/>
      </c>
      <c r="I22" s="137" t="str">
        <f>IF(Dashboard!$E$12="","",Dashboard!$E$12)</f>
        <v/>
      </c>
      <c r="J22" s="137" t="str">
        <f>IF(Dashboard!$E$13="","",Dashboard!$E$13)</f>
        <v/>
      </c>
      <c r="K22" s="137" t="str">
        <f>IF(Dashboard!$E$14="","",Dashboard!$E$14)</f>
        <v/>
      </c>
      <c r="L22" s="137" t="str">
        <f t="shared" si="24"/>
        <v/>
      </c>
      <c r="M22" s="137" t="str">
        <f t="shared" si="21"/>
        <v/>
      </c>
      <c r="N22" s="138" t="str">
        <f>IF(ISERROR(D22),"",(D22*703)/(Dashboard!$E$6*Dashboard!$E$6))</f>
        <v/>
      </c>
      <c r="O22" s="137" t="str">
        <f>IF(ISERROR(D22),"",IF(D22&lt;=Dashboard!$P$5,"Club10 Achieved!",(Dashboard!$P$5-D22)*-1))</f>
        <v/>
      </c>
      <c r="P22" s="137" t="str">
        <f t="shared" si="15"/>
        <v/>
      </c>
      <c r="Q22" s="137" t="str">
        <f>IF(Dashboard!$E$10="","",IF(ISERROR(D22),"",IF($D22&gt;Dashboard!$E$10,$D22-Dashboard!$E$10,IF($D22="","","Target 1 ACHIEVED!"))))</f>
        <v/>
      </c>
      <c r="R22" s="137" t="str">
        <f t="shared" si="16"/>
        <v/>
      </c>
      <c r="S22" s="137" t="str">
        <f>IF(ISERROR(D22),"",IF(Dashboard!$E$11="","",IF($D22&gt;Dashboard!$E$11,$D22-Dashboard!$E$11,IF($D22="","","Target 2 ACHIEVED!"))))</f>
        <v/>
      </c>
      <c r="T22" s="137" t="str">
        <f t="shared" si="17"/>
        <v/>
      </c>
      <c r="U22" s="137" t="str">
        <f>IF(Dashboard!$E$12="","",IF(ISERROR(D22),"",IF($D22&gt;Dashboard!$E$12,$D22-Dashboard!$E$12,IF($D22="","","Target 3 ACHIEVED!"))))</f>
        <v/>
      </c>
      <c r="V22" s="137" t="str">
        <f t="shared" si="18"/>
        <v/>
      </c>
      <c r="W22" s="137" t="str">
        <f>IF(Dashboard!$E$13="","",IF(ISERROR(D22),"",IF($D22&gt;Dashboard!$E$13,$D22-Dashboard!$E$13,IF($D22="","","Target 4 ACHIEVED!"))))</f>
        <v/>
      </c>
      <c r="X22" s="137" t="str">
        <f t="shared" si="19"/>
        <v/>
      </c>
      <c r="Y22" s="137" t="str">
        <f>IF(ISERROR(D22),"",IF(Dashboard!$E$14="","",IF($D22&gt;Dashboard!$E$14,$D22-Dashboard!$E$14,IF($D22="","","Target ACHIEVED!"))))</f>
        <v/>
      </c>
      <c r="Z22" s="137" t="str">
        <f t="shared" si="20"/>
        <v/>
      </c>
      <c r="AA22" s="153" t="str">
        <f t="shared" si="25"/>
        <v/>
      </c>
    </row>
    <row r="23" spans="1:27" x14ac:dyDescent="0.2">
      <c r="A23" s="139" t="str">
        <f t="shared" si="22"/>
        <v/>
      </c>
      <c r="B23" s="140"/>
      <c r="C23" s="140"/>
      <c r="D23" s="141" t="e">
        <f t="shared" si="23"/>
        <v>#N/A</v>
      </c>
      <c r="E23" s="141" t="str">
        <f t="shared" si="14"/>
        <v/>
      </c>
      <c r="F23" s="141" t="str">
        <f>IF(Dashboard!$E$9="","",Dashboard!$E$9)</f>
        <v/>
      </c>
      <c r="G23" s="141" t="str">
        <f>IF(Dashboard!$E$10="","",Dashboard!$E$10)</f>
        <v/>
      </c>
      <c r="H23" s="141" t="str">
        <f>IF(Dashboard!$E$11="","",Dashboard!$E$11)</f>
        <v/>
      </c>
      <c r="I23" s="141" t="str">
        <f>IF(Dashboard!$E$12="","",Dashboard!$E$12)</f>
        <v/>
      </c>
      <c r="J23" s="141" t="str">
        <f>IF(Dashboard!$E$13="","",Dashboard!$E$13)</f>
        <v/>
      </c>
      <c r="K23" s="141" t="str">
        <f>IF(Dashboard!$E$14="","",Dashboard!$E$14)</f>
        <v/>
      </c>
      <c r="L23" s="141" t="str">
        <f t="shared" si="24"/>
        <v/>
      </c>
      <c r="M23" s="141" t="str">
        <f t="shared" si="21"/>
        <v/>
      </c>
      <c r="N23" s="142" t="str">
        <f>IF(ISERROR(D23),"",(D23*703)/(Dashboard!$E$6*Dashboard!$E$6))</f>
        <v/>
      </c>
      <c r="O23" s="141" t="str">
        <f>IF(ISERROR(D23),"",IF(D23&lt;=Dashboard!$P$5,"Club10 Achieved!",(Dashboard!$P$5-D23)*-1))</f>
        <v/>
      </c>
      <c r="P23" s="141" t="str">
        <f t="shared" si="15"/>
        <v/>
      </c>
      <c r="Q23" s="141" t="str">
        <f>IF(Dashboard!$E$10="","",IF(ISERROR(D23),"",IF($D23&gt;Dashboard!$E$10,$D23-Dashboard!$E$10,IF($D23="","","Target 1 ACHIEVED!"))))</f>
        <v/>
      </c>
      <c r="R23" s="141" t="str">
        <f t="shared" si="16"/>
        <v/>
      </c>
      <c r="S23" s="141" t="str">
        <f>IF(ISERROR(D23),"",IF(Dashboard!$E$11="","",IF($D23&gt;Dashboard!$E$11,$D23-Dashboard!$E$11,IF($D23="","","Target 2 ACHIEVED!"))))</f>
        <v/>
      </c>
      <c r="T23" s="141" t="str">
        <f t="shared" si="17"/>
        <v/>
      </c>
      <c r="U23" s="141" t="str">
        <f>IF(Dashboard!$E$12="","",IF(ISERROR(D23),"",IF($D23&gt;Dashboard!$E$12,$D23-Dashboard!$E$12,IF($D23="","","Target 3 ACHIEVED!"))))</f>
        <v/>
      </c>
      <c r="V23" s="141" t="str">
        <f t="shared" si="18"/>
        <v/>
      </c>
      <c r="W23" s="141" t="str">
        <f>IF(Dashboard!$E$13="","",IF(ISERROR(D23),"",IF($D23&gt;Dashboard!$E$13,$D23-Dashboard!$E$13,IF($D23="","","Target 4 ACHIEVED!"))))</f>
        <v/>
      </c>
      <c r="X23" s="141" t="str">
        <f t="shared" si="19"/>
        <v/>
      </c>
      <c r="Y23" s="141" t="str">
        <f>IF(ISERROR(D23),"",IF(Dashboard!$E$14="","",IF($D23&gt;Dashboard!$E$14,$D23-Dashboard!$E$14,IF($D23="","","Target ACHIEVED!"))))</f>
        <v/>
      </c>
      <c r="Z23" s="141" t="str">
        <f t="shared" si="20"/>
        <v/>
      </c>
      <c r="AA23" s="154" t="str">
        <f t="shared" si="25"/>
        <v/>
      </c>
    </row>
    <row r="24" spans="1:27" x14ac:dyDescent="0.2">
      <c r="A24" s="135" t="str">
        <f t="shared" si="22"/>
        <v/>
      </c>
      <c r="B24" s="136"/>
      <c r="C24" s="136"/>
      <c r="D24" s="137" t="e">
        <f t="shared" si="23"/>
        <v>#N/A</v>
      </c>
      <c r="E24" s="137" t="str">
        <f t="shared" si="14"/>
        <v/>
      </c>
      <c r="F24" s="137" t="str">
        <f>IF(Dashboard!$E$9="","",Dashboard!$E$9)</f>
        <v/>
      </c>
      <c r="G24" s="137" t="str">
        <f>IF(Dashboard!$E$10="","",Dashboard!$E$10)</f>
        <v/>
      </c>
      <c r="H24" s="137" t="str">
        <f>IF(Dashboard!$E$11="","",Dashboard!$E$11)</f>
        <v/>
      </c>
      <c r="I24" s="137" t="str">
        <f>IF(Dashboard!$E$12="","",Dashboard!$E$12)</f>
        <v/>
      </c>
      <c r="J24" s="137" t="str">
        <f>IF(Dashboard!$E$13="","",Dashboard!$E$13)</f>
        <v/>
      </c>
      <c r="K24" s="137" t="str">
        <f>IF(Dashboard!$E$14="","",Dashboard!$E$14)</f>
        <v/>
      </c>
      <c r="L24" s="137" t="str">
        <f t="shared" si="24"/>
        <v/>
      </c>
      <c r="M24" s="137" t="str">
        <f t="shared" si="21"/>
        <v/>
      </c>
      <c r="N24" s="138" t="str">
        <f>IF(ISERROR(D24),"",(D24*703)/(Dashboard!$E$6*Dashboard!$E$6))</f>
        <v/>
      </c>
      <c r="O24" s="137" t="str">
        <f>IF(ISERROR(D24),"",IF(D24&lt;=Dashboard!$P$5,"Club10 Achieved!",(Dashboard!$P$5-D24)*-1))</f>
        <v/>
      </c>
      <c r="P24" s="137" t="str">
        <f t="shared" si="15"/>
        <v/>
      </c>
      <c r="Q24" s="137" t="str">
        <f>IF(Dashboard!$E$10="","",IF(ISERROR(D24),"",IF($D24&gt;Dashboard!$E$10,$D24-Dashboard!$E$10,IF($D24="","","Target 1 ACHIEVED!"))))</f>
        <v/>
      </c>
      <c r="R24" s="137" t="str">
        <f t="shared" si="16"/>
        <v/>
      </c>
      <c r="S24" s="137" t="str">
        <f>IF(ISERROR(D24),"",IF(Dashboard!$E$11="","",IF($D24&gt;Dashboard!$E$11,$D24-Dashboard!$E$11,IF($D24="","","Target 2 ACHIEVED!"))))</f>
        <v/>
      </c>
      <c r="T24" s="137" t="str">
        <f t="shared" si="17"/>
        <v/>
      </c>
      <c r="U24" s="137" t="str">
        <f>IF(Dashboard!$E$12="","",IF(ISERROR(D24),"",IF($D24&gt;Dashboard!$E$12,$D24-Dashboard!$E$12,IF($D24="","","Target 3 ACHIEVED!"))))</f>
        <v/>
      </c>
      <c r="V24" s="137" t="str">
        <f t="shared" si="18"/>
        <v/>
      </c>
      <c r="W24" s="137" t="str">
        <f>IF(Dashboard!$E$13="","",IF(ISERROR(D24),"",IF($D24&gt;Dashboard!$E$13,$D24-Dashboard!$E$13,IF($D24="","","Target 4 ACHIEVED!"))))</f>
        <v/>
      </c>
      <c r="X24" s="137" t="str">
        <f t="shared" si="19"/>
        <v/>
      </c>
      <c r="Y24" s="137" t="str">
        <f>IF(ISERROR(D24),"",IF(Dashboard!$E$14="","",IF($D24&gt;Dashboard!$E$14,$D24-Dashboard!$E$14,IF($D24="","","Target ACHIEVED!"))))</f>
        <v/>
      </c>
      <c r="Z24" s="137" t="str">
        <f t="shared" si="20"/>
        <v/>
      </c>
      <c r="AA24" s="153" t="str">
        <f t="shared" si="25"/>
        <v/>
      </c>
    </row>
    <row r="25" spans="1:27" x14ac:dyDescent="0.2">
      <c r="A25" s="139" t="str">
        <f t="shared" si="22"/>
        <v/>
      </c>
      <c r="B25" s="140"/>
      <c r="C25" s="140"/>
      <c r="D25" s="141" t="e">
        <f t="shared" si="23"/>
        <v>#N/A</v>
      </c>
      <c r="E25" s="141" t="str">
        <f t="shared" si="14"/>
        <v/>
      </c>
      <c r="F25" s="141" t="str">
        <f>IF(Dashboard!$E$9="","",Dashboard!$E$9)</f>
        <v/>
      </c>
      <c r="G25" s="141" t="str">
        <f>IF(Dashboard!$E$10="","",Dashboard!$E$10)</f>
        <v/>
      </c>
      <c r="H25" s="141" t="str">
        <f>IF(Dashboard!$E$11="","",Dashboard!$E$11)</f>
        <v/>
      </c>
      <c r="I25" s="141" t="str">
        <f>IF(Dashboard!$E$12="","",Dashboard!$E$12)</f>
        <v/>
      </c>
      <c r="J25" s="141" t="str">
        <f>IF(Dashboard!$E$13="","",Dashboard!$E$13)</f>
        <v/>
      </c>
      <c r="K25" s="141" t="str">
        <f>IF(Dashboard!$E$14="","",Dashboard!$E$14)</f>
        <v/>
      </c>
      <c r="L25" s="141" t="str">
        <f t="shared" si="24"/>
        <v/>
      </c>
      <c r="M25" s="141" t="str">
        <f t="shared" si="21"/>
        <v/>
      </c>
      <c r="N25" s="142" t="str">
        <f>IF(ISERROR(D25),"",(D25*703)/(Dashboard!$E$6*Dashboard!$E$6))</f>
        <v/>
      </c>
      <c r="O25" s="141" t="str">
        <f>IF(ISERROR(D25),"",IF(D25&lt;=Dashboard!$P$5,"Club10 Achieved!",(Dashboard!$P$5-D25)*-1))</f>
        <v/>
      </c>
      <c r="P25" s="141" t="str">
        <f t="shared" si="15"/>
        <v/>
      </c>
      <c r="Q25" s="141" t="str">
        <f>IF(Dashboard!$E$10="","",IF(ISERROR(D25),"",IF($D25&gt;Dashboard!$E$10,$D25-Dashboard!$E$10,IF($D25="","","Target 1 ACHIEVED!"))))</f>
        <v/>
      </c>
      <c r="R25" s="141" t="str">
        <f t="shared" si="16"/>
        <v/>
      </c>
      <c r="S25" s="141" t="str">
        <f>IF(ISERROR(D25),"",IF(Dashboard!$E$11="","",IF($D25&gt;Dashboard!$E$11,$D25-Dashboard!$E$11,IF($D25="","","Target 2 ACHIEVED!"))))</f>
        <v/>
      </c>
      <c r="T25" s="141" t="str">
        <f t="shared" si="17"/>
        <v/>
      </c>
      <c r="U25" s="141" t="str">
        <f>IF(Dashboard!$E$12="","",IF(ISERROR(D25),"",IF($D25&gt;Dashboard!$E$12,$D25-Dashboard!$E$12,IF($D25="","","Target 3 ACHIEVED!"))))</f>
        <v/>
      </c>
      <c r="V25" s="141" t="str">
        <f t="shared" si="18"/>
        <v/>
      </c>
      <c r="W25" s="141" t="str">
        <f>IF(Dashboard!$E$13="","",IF(ISERROR(D25),"",IF($D25&gt;Dashboard!$E$13,$D25-Dashboard!$E$13,IF($D25="","","Target 4 ACHIEVED!"))))</f>
        <v/>
      </c>
      <c r="X25" s="141" t="str">
        <f t="shared" si="19"/>
        <v/>
      </c>
      <c r="Y25" s="141" t="str">
        <f>IF(ISERROR(D25),"",IF(Dashboard!$E$14="","",IF($D25&gt;Dashboard!$E$14,$D25-Dashboard!$E$14,IF($D25="","","Target ACHIEVED!"))))</f>
        <v/>
      </c>
      <c r="Z25" s="141" t="str">
        <f t="shared" si="20"/>
        <v/>
      </c>
      <c r="AA25" s="154" t="str">
        <f t="shared" si="25"/>
        <v/>
      </c>
    </row>
    <row r="26" spans="1:27" x14ac:dyDescent="0.2">
      <c r="A26" s="144" t="str">
        <f t="shared" si="22"/>
        <v/>
      </c>
      <c r="B26" s="145"/>
      <c r="C26" s="145"/>
      <c r="D26" s="146" t="e">
        <f t="shared" si="23"/>
        <v>#N/A</v>
      </c>
      <c r="E26" s="146" t="str">
        <f t="shared" si="14"/>
        <v/>
      </c>
      <c r="F26" s="146" t="str">
        <f>IF(Dashboard!$E$9="","",Dashboard!$E$9)</f>
        <v/>
      </c>
      <c r="G26" s="146" t="str">
        <f>IF(Dashboard!$E$10="","",Dashboard!$E$10)</f>
        <v/>
      </c>
      <c r="H26" s="146" t="str">
        <f>IF(Dashboard!$E$11="","",Dashboard!$E$11)</f>
        <v/>
      </c>
      <c r="I26" s="146" t="str">
        <f>IF(Dashboard!$E$12="","",Dashboard!$E$12)</f>
        <v/>
      </c>
      <c r="J26" s="146" t="str">
        <f>IF(Dashboard!$E$13="","",Dashboard!$E$13)</f>
        <v/>
      </c>
      <c r="K26" s="146" t="str">
        <f>IF(Dashboard!$E$14="","",Dashboard!$E$14)</f>
        <v/>
      </c>
      <c r="L26" s="146" t="str">
        <f t="shared" si="24"/>
        <v/>
      </c>
      <c r="M26" s="146" t="str">
        <f t="shared" si="21"/>
        <v/>
      </c>
      <c r="N26" s="147" t="str">
        <f>IF(ISERROR(D26),"",(D26*703)/(Dashboard!$E$6*Dashboard!$E$6))</f>
        <v/>
      </c>
      <c r="O26" s="146" t="str">
        <f>IF(ISERROR(D26),"",IF(D26&lt;=Dashboard!$P$5,"Club10 Achieved!",(Dashboard!$P$5-D26)*-1))</f>
        <v/>
      </c>
      <c r="P26" s="146" t="str">
        <f t="shared" si="15"/>
        <v/>
      </c>
      <c r="Q26" s="146" t="str">
        <f>IF(Dashboard!$E$10="","",IF(ISERROR(D26),"",IF($D26&gt;Dashboard!$E$10,$D26-Dashboard!$E$10,IF($D26="","","Target 1 ACHIEVED!"))))</f>
        <v/>
      </c>
      <c r="R26" s="146" t="str">
        <f t="shared" si="16"/>
        <v/>
      </c>
      <c r="S26" s="146" t="str">
        <f>IF(ISERROR(D26),"",IF(Dashboard!$E$11="","",IF($D26&gt;Dashboard!$E$11,$D26-Dashboard!$E$11,IF($D26="","","Target 2 ACHIEVED!"))))</f>
        <v/>
      </c>
      <c r="T26" s="146" t="str">
        <f t="shared" si="17"/>
        <v/>
      </c>
      <c r="U26" s="146" t="str">
        <f>IF(Dashboard!$E$12="","",IF(ISERROR(D26),"",IF($D26&gt;Dashboard!$E$12,$D26-Dashboard!$E$12,IF($D26="","","Target 3 ACHIEVED!"))))</f>
        <v/>
      </c>
      <c r="V26" s="146" t="str">
        <f t="shared" si="18"/>
        <v/>
      </c>
      <c r="W26" s="146" t="str">
        <f>IF(Dashboard!$E$13="","",IF(ISERROR(D26),"",IF($D26&gt;Dashboard!$E$13,$D26-Dashboard!$E$13,IF($D26="","","Target 4 ACHIEVED!"))))</f>
        <v/>
      </c>
      <c r="X26" s="146" t="str">
        <f t="shared" si="19"/>
        <v/>
      </c>
      <c r="Y26" s="146" t="str">
        <f>IF(ISERROR(D26),"",IF(Dashboard!$E$14="","",IF($D26&gt;Dashboard!$E$14,$D26-Dashboard!$E$14,IF($D26="","","Target ACHIEVED!"))))</f>
        <v/>
      </c>
      <c r="Z26" s="146" t="str">
        <f t="shared" si="20"/>
        <v/>
      </c>
      <c r="AA26" s="155" t="str">
        <f t="shared" si="25"/>
        <v/>
      </c>
    </row>
    <row r="27" spans="1:27" x14ac:dyDescent="0.2">
      <c r="A27" s="139" t="str">
        <f>IF(ISERROR(D27),"",A26+7)</f>
        <v/>
      </c>
      <c r="B27" s="140"/>
      <c r="C27" s="140"/>
      <c r="D27" s="141" t="e">
        <f t="shared" si="23"/>
        <v>#N/A</v>
      </c>
      <c r="E27" s="141" t="str">
        <f t="shared" ref="E27:E38" si="26">IF(ISERROR(D27),"",D27)</f>
        <v/>
      </c>
      <c r="F27" s="141" t="str">
        <f>IF(Dashboard!$E$9="","",Dashboard!$E$9)</f>
        <v/>
      </c>
      <c r="G27" s="141" t="str">
        <f>IF(Dashboard!$E$10="","",Dashboard!$E$10)</f>
        <v/>
      </c>
      <c r="H27" s="141" t="str">
        <f>IF(Dashboard!$E$11="","",Dashboard!$E$11)</f>
        <v/>
      </c>
      <c r="I27" s="141" t="str">
        <f>IF(Dashboard!$E$12="","",Dashboard!$E$12)</f>
        <v/>
      </c>
      <c r="J27" s="141" t="str">
        <f>IF(Dashboard!$E$13="","",Dashboard!$E$13)</f>
        <v/>
      </c>
      <c r="K27" s="141" t="str">
        <f>IF(Dashboard!$E$14="","",Dashboard!$E$14)</f>
        <v/>
      </c>
      <c r="L27" s="141" t="str">
        <f>IF(ISERROR(D27),"",D27-D26)</f>
        <v/>
      </c>
      <c r="M27" s="141" t="str">
        <f>IF(B27="","",$D$2-D27)</f>
        <v/>
      </c>
      <c r="N27" s="142" t="str">
        <f>IF(ISERROR(D27),"",(D27*703)/(Dashboard!$E$6*Dashboard!$E$6))</f>
        <v/>
      </c>
      <c r="O27" s="141" t="str">
        <f>IF(ISERROR(D27),"",IF(D27&lt;=Dashboard!$P$5,"Club10 Achieved!",(Dashboard!$P$5-D27)*-1))</f>
        <v/>
      </c>
      <c r="P27" s="141" t="str">
        <f t="shared" ref="P27:P38" si="27">IF(O27="","",IF(O27="Club10 Achieved!","Club10 Achieved!",CONCATENATE(ROUNDDOWN(O27/14,0)," st ",MOD(O27,14)," lbs")))</f>
        <v/>
      </c>
      <c r="Q27" s="141" t="str">
        <f>IF(Dashboard!$E$10="","",IF(ISERROR(D27),"",IF($D27&gt;Dashboard!$E$10,$D27-Dashboard!$E$10,IF($D27="","","Target 1 ACHIEVED!"))))</f>
        <v/>
      </c>
      <c r="R27" s="141" t="str">
        <f t="shared" ref="R27:R38" si="28">IF(Q27="","",IF(Q27="Target 1 ACHIEVED!","Target 1 ACHIEVED!",CONCATENATE(ROUNDDOWN(Q27/14,0)," st ",MOD(Q27,14)," lbs")))</f>
        <v/>
      </c>
      <c r="S27" s="141" t="str">
        <f>IF(ISERROR(D27),"",IF(Dashboard!$E$11="","",IF($D27&gt;Dashboard!$E$11,$D27-Dashboard!$E$11,IF($D27="","","Target 2 ACHIEVED!"))))</f>
        <v/>
      </c>
      <c r="T27" s="141" t="str">
        <f t="shared" ref="T27:T38" si="29">IF(S27="","",IF(S27="Target 2 ACHIEVED!","Target 2 ACHIEVED!",CONCATENATE(ROUNDDOWN(S27/14,0)," st ",MOD(S27,14)," lbs")))</f>
        <v/>
      </c>
      <c r="U27" s="141" t="str">
        <f>IF(Dashboard!$E$12="","",IF(ISERROR(D27),"",IF($D27&gt;Dashboard!$E$12,$D27-Dashboard!$E$12,IF($D27="","","Target 3 ACHIEVED!"))))</f>
        <v/>
      </c>
      <c r="V27" s="141" t="str">
        <f t="shared" ref="V27:V38" si="30">IF(U27="","",IF(U27="Target 3 ACHIEVED!","Target 3 ACHIEVED!",CONCATENATE(ROUNDDOWN(U27/14,0)," st ",MOD(U27,14)," lbs")))</f>
        <v/>
      </c>
      <c r="W27" s="141" t="str">
        <f>IF(Dashboard!$E$13="","",IF(ISERROR(D27),"",IF($D27&gt;Dashboard!$E$13,$D27-Dashboard!$E$13,IF($D27="","","Target 4 ACHIEVED!"))))</f>
        <v/>
      </c>
      <c r="X27" s="141" t="str">
        <f t="shared" ref="X27:X38" si="31">IF(W27="","",IF(W27="Target 4 ACHIEVED!","Target 4 ACHIEVED!",CONCATENATE(ROUNDDOWN(W27/14,0)," st ",MOD(W27,14)," lbs")))</f>
        <v/>
      </c>
      <c r="Y27" s="141" t="str">
        <f>IF(ISERROR(D27),"",IF(Dashboard!$E$14="","",IF($D27&gt;Dashboard!$E$14,$D27-Dashboard!$E$14,IF($D27="","","Target ACHIEVED!"))))</f>
        <v/>
      </c>
      <c r="Z27" s="141" t="str">
        <f t="shared" ref="Z27:Z38" si="32">IF(Y27="","",IF(Y27="Target ACHIEVED!","Target ACHIEVED!",CONCATENATE(ROUNDDOWN(Y27/14,0)," st ",MOD(Y27,14)," lbs")))</f>
        <v/>
      </c>
      <c r="AA27" s="154" t="str">
        <f>IF((AND(M27&lt;=202.5,M27&gt;=196)),"14 STONE",
 IF((AND(M27&lt;=195.5,M27&gt;=189)),"13.5 STONE",
 IF((AND(M27&lt;=188.5,M27&gt;=182)),"13 STONE",
 IF((AND(M27&lt;=181.5,M27&gt;=175)),"12.5 STONE",
 IF((AND(M27&lt;=174.5,M27&gt;=168)),"12 STONE",
 IF((AND(M27&lt;=167.5,M27&gt;=161)),"11.5 STONE",
 IF((AND(M27&lt;=160.5,M27&gt;=154)),"11 STONE",
 IF((AND(M27&lt;=153.5,M27&gt;=147)),"10.5 STONE",
 IF((AND(M27&lt;=146.5,M27&gt;=140)),"10 STONE",
 IF((AND(M27&lt;=139.5,M27&gt;=133)),"9.5 STONE",
 IF((AND(M27&lt;=132.5,M27&gt;=126)),"9 STONE",
 IF((AND(M27&lt;=125.5,M27&gt;=119)),"8.5 STONE",
 IF((AND(M27&lt;=118.5,M27&gt;=112)),"8 STONE",
 IF((AND(M27&lt;=111.5,M27&gt;=105)),"7.5 STONE",
 IF((AND(M27&lt;=104.5,M27&gt;=98)),"7 STONE",
 IF((AND(M27&lt;=97.5,M27&gt;=91)),"6.5 STONE",
 IF((AND(M27&lt;=90.5,M27&gt;=84)),"6 STONE",
 IF((AND(M27&lt;=83.5,M27&gt;=77)),"5.5 STONE",
 IF((AND(M27&lt;=76.5,M27&gt;=70)),"5 STONE",
 IF((AND(M27&lt;=69.5,M27&gt;=63)),"4.5 STONE",
 IF((AND(M27&lt;=62.5,M27&gt;=56)),"4 STONE",
 IF((AND(M27&lt;=55.5,M27&gt;=49)),"3.5 STONE",
 IF((AND(M27&lt;=48.5,M27&gt;=42)),"3 STONE",
 IF((AND(M27&lt;=41.5,M27&gt;=35)),"2.5 STONE",
 IF((AND(M27&lt;=34.5,M27&gt;=28)),"2 STONE",
 IF((AND(M27&lt;=27.5,M27&gt;=21)),"1.5 STONE",
 IF((AND(M27&lt;=20.5,M27&gt;=14)),"1 STONE",
 IF((AND(M27&lt;=13.5,M27&gt;=7)),"0.5 STONE",
 IF((AND(M27&lt;=6.5,M27&gt;=0)),"",
 "")))))))))))))))))))))))))))))</f>
        <v/>
      </c>
    </row>
    <row r="28" spans="1:27" x14ac:dyDescent="0.2">
      <c r="A28" s="135" t="str">
        <f>IF(ISERROR(D28),"",A27+7)</f>
        <v/>
      </c>
      <c r="B28" s="136"/>
      <c r="C28" s="136"/>
      <c r="D28" s="137" t="e">
        <f>IF(B28="",NA(),(B28*14)+C28)</f>
        <v>#N/A</v>
      </c>
      <c r="E28" s="137" t="str">
        <f t="shared" si="26"/>
        <v/>
      </c>
      <c r="F28" s="137" t="str">
        <f>IF(Dashboard!$E$9="","",Dashboard!$E$9)</f>
        <v/>
      </c>
      <c r="G28" s="137" t="str">
        <f>IF(Dashboard!$E$10="","",Dashboard!$E$10)</f>
        <v/>
      </c>
      <c r="H28" s="137" t="str">
        <f>IF(Dashboard!$E$11="","",Dashboard!$E$11)</f>
        <v/>
      </c>
      <c r="I28" s="137" t="str">
        <f>IF(Dashboard!$E$12="","",Dashboard!$E$12)</f>
        <v/>
      </c>
      <c r="J28" s="137" t="str">
        <f>IF(Dashboard!$E$13="","",Dashboard!$E$13)</f>
        <v/>
      </c>
      <c r="K28" s="137" t="str">
        <f>IF(Dashboard!$E$14="","",Dashboard!$E$14)</f>
        <v/>
      </c>
      <c r="L28" s="137" t="str">
        <f>IF(ISERROR(D28),"",D28-D27)</f>
        <v/>
      </c>
      <c r="M28" s="137" t="str">
        <f t="shared" ref="M28:M38" si="33">IF(B28="","",$D$2-D28)</f>
        <v/>
      </c>
      <c r="N28" s="138" t="str">
        <f>IF(ISERROR(D28),"",(D28*703)/(Dashboard!$E$6*Dashboard!$E$6))</f>
        <v/>
      </c>
      <c r="O28" s="137" t="str">
        <f>IF(ISERROR(D28),"",IF(D28&lt;=Dashboard!$P$5,"Club10 Achieved!",(Dashboard!$P$5-D28)*-1))</f>
        <v/>
      </c>
      <c r="P28" s="137" t="str">
        <f t="shared" si="27"/>
        <v/>
      </c>
      <c r="Q28" s="137" t="str">
        <f>IF(Dashboard!$E$10="","",IF(ISERROR(D28),"",IF($D28&gt;Dashboard!$E$10,$D28-Dashboard!$E$10,IF($D28="","","Target 1 ACHIEVED!"))))</f>
        <v/>
      </c>
      <c r="R28" s="137" t="str">
        <f t="shared" si="28"/>
        <v/>
      </c>
      <c r="S28" s="137" t="str">
        <f>IF(ISERROR(D28),"",IF(Dashboard!$E$11="","",IF($D28&gt;Dashboard!$E$11,$D28-Dashboard!$E$11,IF($D28="","","Target 2 ACHIEVED!"))))</f>
        <v/>
      </c>
      <c r="T28" s="137" t="str">
        <f t="shared" si="29"/>
        <v/>
      </c>
      <c r="U28" s="137" t="str">
        <f>IF(Dashboard!$E$12="","",IF(ISERROR(D28),"",IF($D28&gt;Dashboard!$E$12,$D28-Dashboard!$E$12,IF($D28="","","Target 3 ACHIEVED!"))))</f>
        <v/>
      </c>
      <c r="V28" s="137" t="str">
        <f t="shared" si="30"/>
        <v/>
      </c>
      <c r="W28" s="137" t="str">
        <f>IF(Dashboard!$E$13="","",IF(ISERROR(D28),"",IF($D28&gt;Dashboard!$E$13,$D28-Dashboard!$E$13,IF($D28="","","Target 4 ACHIEVED!"))))</f>
        <v/>
      </c>
      <c r="X28" s="137" t="str">
        <f t="shared" si="31"/>
        <v/>
      </c>
      <c r="Y28" s="137" t="str">
        <f>IF(ISERROR(D28),"",IF(Dashboard!$E$14="","",IF($D28&gt;Dashboard!$E$14,$D28-Dashboard!$E$14,IF($D28="","","Target ACHIEVED!"))))</f>
        <v/>
      </c>
      <c r="Z28" s="137" t="str">
        <f t="shared" si="32"/>
        <v/>
      </c>
      <c r="AA28" s="153" t="str">
        <f>IF((AND(M28&lt;=202.5,M28&gt;=196)),"14 STONE",
 IF((AND(M28&lt;=195.5,M28&gt;=189)),"13.5 STONE",
 IF((AND(M28&lt;=188.5,M28&gt;=182)),"13 STONE",
 IF((AND(M28&lt;=181.5,M28&gt;=175)),"12.5 STONE",
 IF((AND(M28&lt;=174.5,M28&gt;=168)),"12 STONE",
 IF((AND(M28&lt;=167.5,M28&gt;=161)),"11.5 STONE",
 IF((AND(M28&lt;=160.5,M28&gt;=154)),"11 STONE",
 IF((AND(M28&lt;=153.5,M28&gt;=147)),"10.5 STONE",
 IF((AND(M28&lt;=146.5,M28&gt;=140)),"10 STONE",
 IF((AND(M28&lt;=139.5,M28&gt;=133)),"9.5 STONE",
 IF((AND(M28&lt;=132.5,M28&gt;=126)),"9 STONE",
 IF((AND(M28&lt;=125.5,M28&gt;=119)),"8.5 STONE",
 IF((AND(M28&lt;=118.5,M28&gt;=112)),"8 STONE",
 IF((AND(M28&lt;=111.5,M28&gt;=105)),"7.5 STONE",
 IF((AND(M28&lt;=104.5,M28&gt;=98)),"7 STONE",
 IF((AND(M28&lt;=97.5,M28&gt;=91)),"6.5 STONE",
 IF((AND(M28&lt;=90.5,M28&gt;=84)),"6 STONE",
 IF((AND(M28&lt;=83.5,M28&gt;=77)),"5.5 STONE",
 IF((AND(M28&lt;=76.5,M28&gt;=70)),"5 STONE",
 IF((AND(M28&lt;=69.5,M28&gt;=63)),"4.5 STONE",
 IF((AND(M28&lt;=62.5,M28&gt;=56)),"4 STONE",
 IF((AND(M28&lt;=55.5,M28&gt;=49)),"3.5 STONE",
 IF((AND(M28&lt;=48.5,M28&gt;=42)),"3 STONE",
 IF((AND(M28&lt;=41.5,M28&gt;=35)),"2.5 STONE",
 IF((AND(M28&lt;=34.5,M28&gt;=28)),"2 STONE",
 IF((AND(M28&lt;=27.5,M28&gt;=21)),"1.5 STONE",
 IF((AND(M28&lt;=20.5,M28&gt;=14)),"1 STONE",
 IF((AND(M28&lt;=13.5,M28&gt;=7)),"0.5 STONE",
 IF((AND(M28&lt;=6.5,M28&gt;=0)),"",
 "")))))))))))))))))))))))))))))</f>
        <v/>
      </c>
    </row>
    <row r="29" spans="1:27" x14ac:dyDescent="0.2">
      <c r="A29" s="139" t="str">
        <f t="shared" ref="A29:A38" si="34">IF(ISERROR(D29),"",A28+7)</f>
        <v/>
      </c>
      <c r="B29" s="140"/>
      <c r="C29" s="140"/>
      <c r="D29" s="141" t="e">
        <f t="shared" ref="D29:D39" si="35">IF(B29="",NA(),(B29*14)+C29)</f>
        <v>#N/A</v>
      </c>
      <c r="E29" s="141" t="str">
        <f t="shared" si="26"/>
        <v/>
      </c>
      <c r="F29" s="141" t="str">
        <f>IF(Dashboard!$E$9="","",Dashboard!$E$9)</f>
        <v/>
      </c>
      <c r="G29" s="141" t="str">
        <f>IF(Dashboard!$E$10="","",Dashboard!$E$10)</f>
        <v/>
      </c>
      <c r="H29" s="141" t="str">
        <f>IF(Dashboard!$E$11="","",Dashboard!$E$11)</f>
        <v/>
      </c>
      <c r="I29" s="141" t="str">
        <f>IF(Dashboard!$E$12="","",Dashboard!$E$12)</f>
        <v/>
      </c>
      <c r="J29" s="141" t="str">
        <f>IF(Dashboard!$E$13="","",Dashboard!$E$13)</f>
        <v/>
      </c>
      <c r="K29" s="141" t="str">
        <f>IF(Dashboard!$E$14="","",Dashboard!$E$14)</f>
        <v/>
      </c>
      <c r="L29" s="141" t="str">
        <f t="shared" ref="L29:L38" si="36">IF(ISERROR(D29),"",D29-D28)</f>
        <v/>
      </c>
      <c r="M29" s="141" t="str">
        <f t="shared" si="33"/>
        <v/>
      </c>
      <c r="N29" s="142" t="str">
        <f>IF(ISERROR(D29),"",(D29*703)/(Dashboard!$E$6*Dashboard!$E$6))</f>
        <v/>
      </c>
      <c r="O29" s="141" t="str">
        <f>IF(ISERROR(D29),"",IF(D29&lt;=Dashboard!$P$5,"Club10 Achieved!",(Dashboard!$P$5-D29)*-1))</f>
        <v/>
      </c>
      <c r="P29" s="141" t="str">
        <f t="shared" si="27"/>
        <v/>
      </c>
      <c r="Q29" s="141" t="str">
        <f>IF(Dashboard!$E$10="","",IF(ISERROR(D29),"",IF($D29&gt;Dashboard!$E$10,$D29-Dashboard!$E$10,IF($D29="","","Target 1 ACHIEVED!"))))</f>
        <v/>
      </c>
      <c r="R29" s="141" t="str">
        <f t="shared" si="28"/>
        <v/>
      </c>
      <c r="S29" s="141" t="str">
        <f>IF(ISERROR(D29),"",IF(Dashboard!$E$11="","",IF($D29&gt;Dashboard!$E$11,$D29-Dashboard!$E$11,IF($D29="","","Target 2 ACHIEVED!"))))</f>
        <v/>
      </c>
      <c r="T29" s="141" t="str">
        <f t="shared" si="29"/>
        <v/>
      </c>
      <c r="U29" s="141" t="str">
        <f>IF(Dashboard!$E$12="","",IF(ISERROR(D29),"",IF($D29&gt;Dashboard!$E$12,$D29-Dashboard!$E$12,IF($D29="","","Target 3 ACHIEVED!"))))</f>
        <v/>
      </c>
      <c r="V29" s="141" t="str">
        <f t="shared" si="30"/>
        <v/>
      </c>
      <c r="W29" s="141" t="str">
        <f>IF(Dashboard!$E$13="","",IF(ISERROR(D29),"",IF($D29&gt;Dashboard!$E$13,$D29-Dashboard!$E$13,IF($D29="","","Target 4 ACHIEVED!"))))</f>
        <v/>
      </c>
      <c r="X29" s="141" t="str">
        <f t="shared" si="31"/>
        <v/>
      </c>
      <c r="Y29" s="141" t="str">
        <f>IF(ISERROR(D29),"",IF(Dashboard!$E$14="","",IF($D29&gt;Dashboard!$E$14,$D29-Dashboard!$E$14,IF($D29="","","Target ACHIEVED!"))))</f>
        <v/>
      </c>
      <c r="Z29" s="141" t="str">
        <f t="shared" si="32"/>
        <v/>
      </c>
      <c r="AA29" s="154" t="str">
        <f>IF((AND(M29&lt;=202.5,M29&gt;=196)),"14 STONE",
 IF((AND(M29&lt;=195.5,M29&gt;=189)),"13.5 STONE",
 IF((AND(M29&lt;=188.5,M29&gt;=182)),"13 STONE",
 IF((AND(M29&lt;=181.5,M29&gt;=175)),"12.5 STONE",
 IF((AND(M29&lt;=174.5,M29&gt;=168)),"12 STONE",
 IF((AND(M29&lt;=167.5,M29&gt;=161)),"11.5 STONE",
 IF((AND(M29&lt;=160.5,M29&gt;=154)),"11 STONE",
 IF((AND(M29&lt;=153.5,M29&gt;=147)),"10.5 STONE",
 IF((AND(M29&lt;=146.5,M29&gt;=140)),"10 STONE",
 IF((AND(M29&lt;=139.5,M29&gt;=133)),"9.5 STONE",
 IF((AND(M29&lt;=132.5,M29&gt;=126)),"9 STONE",
 IF((AND(M29&lt;=125.5,M29&gt;=119)),"8.5 STONE",
 IF((AND(M29&lt;=118.5,M29&gt;=112)),"8 STONE",
 IF((AND(M29&lt;=111.5,M29&gt;=105)),"7.5 STONE",
 IF((AND(M29&lt;=104.5,M29&gt;=98)),"7 STONE",
 IF((AND(M29&lt;=97.5,M29&gt;=91)),"6.5 STONE",
 IF((AND(M29&lt;=90.5,M29&gt;=84)),"6 STONE",
 IF((AND(M29&lt;=83.5,M29&gt;=77)),"5.5 STONE",
 IF((AND(M29&lt;=76.5,M29&gt;=70)),"5 STONE",
 IF((AND(M29&lt;=69.5,M29&gt;=63)),"4.5 STONE",
 IF((AND(M29&lt;=62.5,M29&gt;=56)),"4 STONE",
 IF((AND(M29&lt;=55.5,M29&gt;=49)),"3.5 STONE",
 IF((AND(M29&lt;=48.5,M29&gt;=42)),"3 STONE",
 IF((AND(M29&lt;=41.5,M29&gt;=35)),"2.5 STONE",
 IF((AND(M29&lt;=34.5,M29&gt;=28)),"2 STONE",
 IF((AND(M29&lt;=27.5,M29&gt;=21)),"1.5 STONE",
 IF((AND(M29&lt;=20.5,M29&gt;=14)),"1 STONE",
 IF((AND(M29&lt;=13.5,M29&gt;=7)),"0.5 STONE",
 IF((AND(M29&lt;=6.5,M29&gt;=0)),"",
 "")))))))))))))))))))))))))))))</f>
        <v/>
      </c>
    </row>
    <row r="30" spans="1:27" x14ac:dyDescent="0.2">
      <c r="A30" s="135" t="str">
        <f t="shared" si="34"/>
        <v/>
      </c>
      <c r="B30" s="136"/>
      <c r="C30" s="136"/>
      <c r="D30" s="137" t="e">
        <f t="shared" si="35"/>
        <v>#N/A</v>
      </c>
      <c r="E30" s="137" t="str">
        <f t="shared" si="26"/>
        <v/>
      </c>
      <c r="F30" s="137" t="str">
        <f>IF(Dashboard!$E$9="","",Dashboard!$E$9)</f>
        <v/>
      </c>
      <c r="G30" s="137" t="str">
        <f>IF(Dashboard!$E$10="","",Dashboard!$E$10)</f>
        <v/>
      </c>
      <c r="H30" s="137" t="str">
        <f>IF(Dashboard!$E$11="","",Dashboard!$E$11)</f>
        <v/>
      </c>
      <c r="I30" s="137" t="str">
        <f>IF(Dashboard!$E$12="","",Dashboard!$E$12)</f>
        <v/>
      </c>
      <c r="J30" s="137" t="str">
        <f>IF(Dashboard!$E$13="","",Dashboard!$E$13)</f>
        <v/>
      </c>
      <c r="K30" s="137" t="str">
        <f>IF(Dashboard!$E$14="","",Dashboard!$E$14)</f>
        <v/>
      </c>
      <c r="L30" s="137" t="str">
        <f t="shared" si="36"/>
        <v/>
      </c>
      <c r="M30" s="137" t="str">
        <f t="shared" si="33"/>
        <v/>
      </c>
      <c r="N30" s="138" t="str">
        <f>IF(ISERROR(D30),"",(D30*703)/(Dashboard!$E$6*Dashboard!$E$6))</f>
        <v/>
      </c>
      <c r="O30" s="137" t="str">
        <f>IF(ISERROR(D30),"",IF(D30&lt;=Dashboard!$P$5,"Club10 Achieved!",(Dashboard!$P$5-D30)*-1))</f>
        <v/>
      </c>
      <c r="P30" s="137" t="str">
        <f t="shared" si="27"/>
        <v/>
      </c>
      <c r="Q30" s="137" t="str">
        <f>IF(Dashboard!$E$10="","",IF(ISERROR(D30),"",IF($D30&gt;Dashboard!$E$10,$D30-Dashboard!$E$10,IF($D30="","","Target 1 ACHIEVED!"))))</f>
        <v/>
      </c>
      <c r="R30" s="137" t="str">
        <f t="shared" si="28"/>
        <v/>
      </c>
      <c r="S30" s="137" t="str">
        <f>IF(ISERROR(D30),"",IF(Dashboard!$E$11="","",IF($D30&gt;Dashboard!$E$11,$D30-Dashboard!$E$11,IF($D30="","","Target 2 ACHIEVED!"))))</f>
        <v/>
      </c>
      <c r="T30" s="137" t="str">
        <f t="shared" si="29"/>
        <v/>
      </c>
      <c r="U30" s="137" t="str">
        <f>IF(Dashboard!$E$12="","",IF(ISERROR(D30),"",IF($D30&gt;Dashboard!$E$12,$D30-Dashboard!$E$12,IF($D30="","","Target 3 ACHIEVED!"))))</f>
        <v/>
      </c>
      <c r="V30" s="137" t="str">
        <f t="shared" si="30"/>
        <v/>
      </c>
      <c r="W30" s="137" t="str">
        <f>IF(Dashboard!$E$13="","",IF(ISERROR(D30),"",IF($D30&gt;Dashboard!$E$13,$D30-Dashboard!$E$13,IF($D30="","","Target 4 ACHIEVED!"))))</f>
        <v/>
      </c>
      <c r="X30" s="137" t="str">
        <f t="shared" si="31"/>
        <v/>
      </c>
      <c r="Y30" s="137" t="str">
        <f>IF(ISERROR(D30),"",IF(Dashboard!$E$14="","",IF($D30&gt;Dashboard!$E$14,$D30-Dashboard!$E$14,IF($D30="","","Target ACHIEVED!"))))</f>
        <v/>
      </c>
      <c r="Z30" s="137" t="str">
        <f t="shared" si="32"/>
        <v/>
      </c>
      <c r="AA30" s="153" t="str">
        <f t="shared" ref="AA30:AA38" si="37">IF((AND(M30&lt;=202.5,M30&gt;=196)),"14 STONE",
 IF((AND(M30&lt;=195.5,M30&gt;=189)),"13.5 STONE",
 IF((AND(M30&lt;=188.5,M30&gt;=182)),"13 STONE",
 IF((AND(M30&lt;=181.5,M30&gt;=175)),"12.5 STONE",
 IF((AND(M30&lt;=174.5,M30&gt;=168)),"12 STONE",
 IF((AND(M30&lt;=167.5,M30&gt;=161)),"11.5 STONE",
 IF((AND(M30&lt;=160.5,M30&gt;=154)),"11 STONE",
 IF((AND(M30&lt;=153.5,M30&gt;=147)),"10.5 STONE",
 IF((AND(M30&lt;=146.5,M30&gt;=140)),"10 STONE",
 IF((AND(M30&lt;=139.5,M30&gt;=133)),"9.5 STONE",
 IF((AND(M30&lt;=132.5,M30&gt;=126)),"9 STONE",
 IF((AND(M30&lt;=125.5,M30&gt;=119)),"8.5 STONE",
 IF((AND(M30&lt;=118.5,M30&gt;=112)),"8 STONE",
 IF((AND(M30&lt;=111.5,M30&gt;=105)),"7.5 STONE",
 IF((AND(M30&lt;=104.5,M30&gt;=98)),"7 STONE",
 IF((AND(M30&lt;=97.5,M30&gt;=91)),"6.5 STONE",
 IF((AND(M30&lt;=90.5,M30&gt;=84)),"6 STONE",
 IF((AND(M30&lt;=83.5,M30&gt;=77)),"5.5 STONE",
 IF((AND(M30&lt;=76.5,M30&gt;=70)),"5 STONE",
 IF((AND(M30&lt;=69.5,M30&gt;=63)),"4.5 STONE",
 IF((AND(M30&lt;=62.5,M30&gt;=56)),"4 STONE",
 IF((AND(M30&lt;=55.5,M30&gt;=49)),"3.5 STONE",
 IF((AND(M30&lt;=48.5,M30&gt;=42)),"3 STONE",
 IF((AND(M30&lt;=41.5,M30&gt;=35)),"2.5 STONE",
 IF((AND(M30&lt;=34.5,M30&gt;=28)),"2 STONE",
 IF((AND(M30&lt;=27.5,M30&gt;=21)),"1.5 STONE",
 IF((AND(M30&lt;=20.5,M30&gt;=14)),"1 STONE",
 IF((AND(M30&lt;=13.5,M30&gt;=7)),"0.5 STONE",
 IF((AND(M30&lt;=6.5,M30&gt;=0)),"",
 "")))))))))))))))))))))))))))))</f>
        <v/>
      </c>
    </row>
    <row r="31" spans="1:27" x14ac:dyDescent="0.2">
      <c r="A31" s="139" t="str">
        <f t="shared" si="34"/>
        <v/>
      </c>
      <c r="B31" s="140"/>
      <c r="C31" s="140"/>
      <c r="D31" s="141" t="e">
        <f t="shared" si="35"/>
        <v>#N/A</v>
      </c>
      <c r="E31" s="141" t="str">
        <f t="shared" si="26"/>
        <v/>
      </c>
      <c r="F31" s="141" t="str">
        <f>IF(Dashboard!$E$9="","",Dashboard!$E$9)</f>
        <v/>
      </c>
      <c r="G31" s="141" t="str">
        <f>IF(Dashboard!$E$10="","",Dashboard!$E$10)</f>
        <v/>
      </c>
      <c r="H31" s="141" t="str">
        <f>IF(Dashboard!$E$11="","",Dashboard!$E$11)</f>
        <v/>
      </c>
      <c r="I31" s="141" t="str">
        <f>IF(Dashboard!$E$12="","",Dashboard!$E$12)</f>
        <v/>
      </c>
      <c r="J31" s="141" t="str">
        <f>IF(Dashboard!$E$13="","",Dashboard!$E$13)</f>
        <v/>
      </c>
      <c r="K31" s="141" t="str">
        <f>IF(Dashboard!$E$14="","",Dashboard!$E$14)</f>
        <v/>
      </c>
      <c r="L31" s="141" t="str">
        <f t="shared" si="36"/>
        <v/>
      </c>
      <c r="M31" s="141" t="str">
        <f t="shared" si="33"/>
        <v/>
      </c>
      <c r="N31" s="142" t="str">
        <f>IF(ISERROR(D31),"",(D31*703)/(Dashboard!$E$6*Dashboard!$E$6))</f>
        <v/>
      </c>
      <c r="O31" s="141" t="str">
        <f>IF(ISERROR(D31),"",IF(D31&lt;=Dashboard!$P$5,"Club10 Achieved!",(Dashboard!$P$5-D31)*-1))</f>
        <v/>
      </c>
      <c r="P31" s="141" t="str">
        <f t="shared" si="27"/>
        <v/>
      </c>
      <c r="Q31" s="141" t="str">
        <f>IF(Dashboard!$E$10="","",IF(ISERROR(D31),"",IF($D31&gt;Dashboard!$E$10,$D31-Dashboard!$E$10,IF($D31="","","Target 1 ACHIEVED!"))))</f>
        <v/>
      </c>
      <c r="R31" s="141" t="str">
        <f t="shared" si="28"/>
        <v/>
      </c>
      <c r="S31" s="141" t="str">
        <f>IF(ISERROR(D31),"",IF(Dashboard!$E$11="","",IF($D31&gt;Dashboard!$E$11,$D31-Dashboard!$E$11,IF($D31="","","Target 2 ACHIEVED!"))))</f>
        <v/>
      </c>
      <c r="T31" s="141" t="str">
        <f t="shared" si="29"/>
        <v/>
      </c>
      <c r="U31" s="141" t="str">
        <f>IF(Dashboard!$E$12="","",IF(ISERROR(D31),"",IF($D31&gt;Dashboard!$E$12,$D31-Dashboard!$E$12,IF($D31="","","Target 3 ACHIEVED!"))))</f>
        <v/>
      </c>
      <c r="V31" s="141" t="str">
        <f t="shared" si="30"/>
        <v/>
      </c>
      <c r="W31" s="141" t="str">
        <f>IF(Dashboard!$E$13="","",IF(ISERROR(D31),"",IF($D31&gt;Dashboard!$E$13,$D31-Dashboard!$E$13,IF($D31="","","Target 4 ACHIEVED!"))))</f>
        <v/>
      </c>
      <c r="X31" s="141" t="str">
        <f t="shared" si="31"/>
        <v/>
      </c>
      <c r="Y31" s="141" t="str">
        <f>IF(ISERROR(D31),"",IF(Dashboard!$E$14="","",IF($D31&gt;Dashboard!$E$14,$D31-Dashboard!$E$14,IF($D31="","","Target ACHIEVED!"))))</f>
        <v/>
      </c>
      <c r="Z31" s="141" t="str">
        <f t="shared" si="32"/>
        <v/>
      </c>
      <c r="AA31" s="154" t="str">
        <f t="shared" si="37"/>
        <v/>
      </c>
    </row>
    <row r="32" spans="1:27" s="143" customFormat="1" x14ac:dyDescent="0.2">
      <c r="A32" s="135" t="str">
        <f t="shared" si="34"/>
        <v/>
      </c>
      <c r="B32" s="136"/>
      <c r="C32" s="136"/>
      <c r="D32" s="137" t="e">
        <f t="shared" si="35"/>
        <v>#N/A</v>
      </c>
      <c r="E32" s="137" t="str">
        <f t="shared" si="26"/>
        <v/>
      </c>
      <c r="F32" s="137" t="str">
        <f>IF(Dashboard!$E$9="","",Dashboard!$E$9)</f>
        <v/>
      </c>
      <c r="G32" s="137" t="str">
        <f>IF(Dashboard!$E$10="","",Dashboard!$E$10)</f>
        <v/>
      </c>
      <c r="H32" s="137" t="str">
        <f>IF(Dashboard!$E$11="","",Dashboard!$E$11)</f>
        <v/>
      </c>
      <c r="I32" s="137" t="str">
        <f>IF(Dashboard!$E$12="","",Dashboard!$E$12)</f>
        <v/>
      </c>
      <c r="J32" s="137" t="str">
        <f>IF(Dashboard!$E$13="","",Dashboard!$E$13)</f>
        <v/>
      </c>
      <c r="K32" s="137" t="str">
        <f>IF(Dashboard!$E$14="","",Dashboard!$E$14)</f>
        <v/>
      </c>
      <c r="L32" s="137" t="str">
        <f t="shared" si="36"/>
        <v/>
      </c>
      <c r="M32" s="137" t="str">
        <f t="shared" si="33"/>
        <v/>
      </c>
      <c r="N32" s="138" t="str">
        <f>IF(ISERROR(D32),"",(D32*703)/(Dashboard!$E$6*Dashboard!$E$6))</f>
        <v/>
      </c>
      <c r="O32" s="137" t="str">
        <f>IF(ISERROR(D32),"",IF(D32&lt;=Dashboard!$P$5,"Club10 Achieved!",(Dashboard!$P$5-D32)*-1))</f>
        <v/>
      </c>
      <c r="P32" s="137" t="str">
        <f t="shared" si="27"/>
        <v/>
      </c>
      <c r="Q32" s="137" t="str">
        <f>IF(Dashboard!$E$10="","",IF(ISERROR(D32),"",IF($D32&gt;Dashboard!$E$10,$D32-Dashboard!$E$10,IF($D32="","","Target 1 ACHIEVED!"))))</f>
        <v/>
      </c>
      <c r="R32" s="137" t="str">
        <f t="shared" si="28"/>
        <v/>
      </c>
      <c r="S32" s="137" t="str">
        <f>IF(ISERROR(D32),"",IF(Dashboard!$E$11="","",IF($D32&gt;Dashboard!$E$11,$D32-Dashboard!$E$11,IF($D32="","","Target 2 ACHIEVED!"))))</f>
        <v/>
      </c>
      <c r="T32" s="137" t="str">
        <f t="shared" si="29"/>
        <v/>
      </c>
      <c r="U32" s="137" t="str">
        <f>IF(Dashboard!$E$12="","",IF(ISERROR(D32),"",IF($D32&gt;Dashboard!$E$12,$D32-Dashboard!$E$12,IF($D32="","","Target 3 ACHIEVED!"))))</f>
        <v/>
      </c>
      <c r="V32" s="137" t="str">
        <f t="shared" si="30"/>
        <v/>
      </c>
      <c r="W32" s="137" t="str">
        <f>IF(Dashboard!$E$13="","",IF(ISERROR(D32),"",IF($D32&gt;Dashboard!$E$13,$D32-Dashboard!$E$13,IF($D32="","","Target 4 ACHIEVED!"))))</f>
        <v/>
      </c>
      <c r="X32" s="137" t="str">
        <f t="shared" si="31"/>
        <v/>
      </c>
      <c r="Y32" s="137" t="str">
        <f>IF(ISERROR(D32),"",IF(Dashboard!$E$14="","",IF($D32&gt;Dashboard!$E$14,$D32-Dashboard!$E$14,IF($D32="","","Target ACHIEVED!"))))</f>
        <v/>
      </c>
      <c r="Z32" s="137" t="str">
        <f t="shared" si="32"/>
        <v/>
      </c>
      <c r="AA32" s="153" t="str">
        <f t="shared" si="37"/>
        <v/>
      </c>
    </row>
    <row r="33" spans="1:27" x14ac:dyDescent="0.2">
      <c r="A33" s="139" t="str">
        <f t="shared" si="34"/>
        <v/>
      </c>
      <c r="B33" s="140"/>
      <c r="C33" s="140"/>
      <c r="D33" s="141" t="e">
        <f t="shared" si="35"/>
        <v>#N/A</v>
      </c>
      <c r="E33" s="141" t="str">
        <f t="shared" si="26"/>
        <v/>
      </c>
      <c r="F33" s="141" t="str">
        <f>IF(Dashboard!$E$9="","",Dashboard!$E$9)</f>
        <v/>
      </c>
      <c r="G33" s="141" t="str">
        <f>IF(Dashboard!$E$10="","",Dashboard!$E$10)</f>
        <v/>
      </c>
      <c r="H33" s="141" t="str">
        <f>IF(Dashboard!$E$11="","",Dashboard!$E$11)</f>
        <v/>
      </c>
      <c r="I33" s="141" t="str">
        <f>IF(Dashboard!$E$12="","",Dashboard!$E$12)</f>
        <v/>
      </c>
      <c r="J33" s="141" t="str">
        <f>IF(Dashboard!$E$13="","",Dashboard!$E$13)</f>
        <v/>
      </c>
      <c r="K33" s="141" t="str">
        <f>IF(Dashboard!$E$14="","",Dashboard!$E$14)</f>
        <v/>
      </c>
      <c r="L33" s="141" t="str">
        <f t="shared" si="36"/>
        <v/>
      </c>
      <c r="M33" s="141" t="str">
        <f t="shared" si="33"/>
        <v/>
      </c>
      <c r="N33" s="142" t="str">
        <f>IF(ISERROR(D33),"",(D33*703)/(Dashboard!$E$6*Dashboard!$E$6))</f>
        <v/>
      </c>
      <c r="O33" s="141" t="str">
        <f>IF(ISERROR(D33),"",IF(D33&lt;=Dashboard!$P$5,"Club10 Achieved!",(Dashboard!$P$5-D33)*-1))</f>
        <v/>
      </c>
      <c r="P33" s="141" t="str">
        <f t="shared" si="27"/>
        <v/>
      </c>
      <c r="Q33" s="141" t="str">
        <f>IF(Dashboard!$E$10="","",IF(ISERROR(D33),"",IF($D33&gt;Dashboard!$E$10,$D33-Dashboard!$E$10,IF($D33="","","Target 1 ACHIEVED!"))))</f>
        <v/>
      </c>
      <c r="R33" s="141" t="str">
        <f t="shared" si="28"/>
        <v/>
      </c>
      <c r="S33" s="141" t="str">
        <f>IF(ISERROR(D33),"",IF(Dashboard!$E$11="","",IF($D33&gt;Dashboard!$E$11,$D33-Dashboard!$E$11,IF($D33="","","Target 2 ACHIEVED!"))))</f>
        <v/>
      </c>
      <c r="T33" s="141" t="str">
        <f t="shared" si="29"/>
        <v/>
      </c>
      <c r="U33" s="141" t="str">
        <f>IF(Dashboard!$E$12="","",IF(ISERROR(D33),"",IF($D33&gt;Dashboard!$E$12,$D33-Dashboard!$E$12,IF($D33="","","Target 3 ACHIEVED!"))))</f>
        <v/>
      </c>
      <c r="V33" s="141" t="str">
        <f t="shared" si="30"/>
        <v/>
      </c>
      <c r="W33" s="141" t="str">
        <f>IF(Dashboard!$E$13="","",IF(ISERROR(D33),"",IF($D33&gt;Dashboard!$E$13,$D33-Dashboard!$E$13,IF($D33="","","Target 4 ACHIEVED!"))))</f>
        <v/>
      </c>
      <c r="X33" s="141" t="str">
        <f t="shared" si="31"/>
        <v/>
      </c>
      <c r="Y33" s="141" t="str">
        <f>IF(ISERROR(D33),"",IF(Dashboard!$E$14="","",IF($D33&gt;Dashboard!$E$14,$D33-Dashboard!$E$14,IF($D33="","","Target ACHIEVED!"))))</f>
        <v/>
      </c>
      <c r="Z33" s="141" t="str">
        <f t="shared" si="32"/>
        <v/>
      </c>
      <c r="AA33" s="154" t="str">
        <f t="shared" si="37"/>
        <v/>
      </c>
    </row>
    <row r="34" spans="1:27" x14ac:dyDescent="0.2">
      <c r="A34" s="135" t="str">
        <f t="shared" si="34"/>
        <v/>
      </c>
      <c r="B34" s="136"/>
      <c r="C34" s="136"/>
      <c r="D34" s="137" t="e">
        <f t="shared" si="35"/>
        <v>#N/A</v>
      </c>
      <c r="E34" s="137" t="str">
        <f t="shared" si="26"/>
        <v/>
      </c>
      <c r="F34" s="137" t="str">
        <f>IF(Dashboard!$E$9="","",Dashboard!$E$9)</f>
        <v/>
      </c>
      <c r="G34" s="137" t="str">
        <f>IF(Dashboard!$E$10="","",Dashboard!$E$10)</f>
        <v/>
      </c>
      <c r="H34" s="137" t="str">
        <f>IF(Dashboard!$E$11="","",Dashboard!$E$11)</f>
        <v/>
      </c>
      <c r="I34" s="137" t="str">
        <f>IF(Dashboard!$E$12="","",Dashboard!$E$12)</f>
        <v/>
      </c>
      <c r="J34" s="137" t="str">
        <f>IF(Dashboard!$E$13="","",Dashboard!$E$13)</f>
        <v/>
      </c>
      <c r="K34" s="137" t="str">
        <f>IF(Dashboard!$E$14="","",Dashboard!$E$14)</f>
        <v/>
      </c>
      <c r="L34" s="137" t="str">
        <f t="shared" si="36"/>
        <v/>
      </c>
      <c r="M34" s="137" t="str">
        <f t="shared" si="33"/>
        <v/>
      </c>
      <c r="N34" s="138" t="str">
        <f>IF(ISERROR(D34),"",(D34*703)/(Dashboard!$E$6*Dashboard!$E$6))</f>
        <v/>
      </c>
      <c r="O34" s="137" t="str">
        <f>IF(ISERROR(D34),"",IF(D34&lt;=Dashboard!$P$5,"Club10 Achieved!",(Dashboard!$P$5-D34)*-1))</f>
        <v/>
      </c>
      <c r="P34" s="137" t="str">
        <f t="shared" si="27"/>
        <v/>
      </c>
      <c r="Q34" s="137" t="str">
        <f>IF(Dashboard!$E$10="","",IF(ISERROR(D34),"",IF($D34&gt;Dashboard!$E$10,$D34-Dashboard!$E$10,IF($D34="","","Target 1 ACHIEVED!"))))</f>
        <v/>
      </c>
      <c r="R34" s="137" t="str">
        <f t="shared" si="28"/>
        <v/>
      </c>
      <c r="S34" s="137" t="str">
        <f>IF(ISERROR(D34),"",IF(Dashboard!$E$11="","",IF($D34&gt;Dashboard!$E$11,$D34-Dashboard!$E$11,IF($D34="","","Target 2 ACHIEVED!"))))</f>
        <v/>
      </c>
      <c r="T34" s="137" t="str">
        <f t="shared" si="29"/>
        <v/>
      </c>
      <c r="U34" s="137" t="str">
        <f>IF(Dashboard!$E$12="","",IF(ISERROR(D34),"",IF($D34&gt;Dashboard!$E$12,$D34-Dashboard!$E$12,IF($D34="","","Target 3 ACHIEVED!"))))</f>
        <v/>
      </c>
      <c r="V34" s="137" t="str">
        <f t="shared" si="30"/>
        <v/>
      </c>
      <c r="W34" s="137" t="str">
        <f>IF(Dashboard!$E$13="","",IF(ISERROR(D34),"",IF($D34&gt;Dashboard!$E$13,$D34-Dashboard!$E$13,IF($D34="","","Target 4 ACHIEVED!"))))</f>
        <v/>
      </c>
      <c r="X34" s="137" t="str">
        <f t="shared" si="31"/>
        <v/>
      </c>
      <c r="Y34" s="137" t="str">
        <f>IF(ISERROR(D34),"",IF(Dashboard!$E$14="","",IF($D34&gt;Dashboard!$E$14,$D34-Dashboard!$E$14,IF($D34="","","Target ACHIEVED!"))))</f>
        <v/>
      </c>
      <c r="Z34" s="137" t="str">
        <f t="shared" si="32"/>
        <v/>
      </c>
      <c r="AA34" s="153" t="str">
        <f t="shared" si="37"/>
        <v/>
      </c>
    </row>
    <row r="35" spans="1:27" x14ac:dyDescent="0.2">
      <c r="A35" s="139" t="str">
        <f t="shared" si="34"/>
        <v/>
      </c>
      <c r="B35" s="140"/>
      <c r="C35" s="140"/>
      <c r="D35" s="141" t="e">
        <f t="shared" si="35"/>
        <v>#N/A</v>
      </c>
      <c r="E35" s="141" t="str">
        <f t="shared" si="26"/>
        <v/>
      </c>
      <c r="F35" s="141" t="str">
        <f>IF(Dashboard!$E$9="","",Dashboard!$E$9)</f>
        <v/>
      </c>
      <c r="G35" s="141" t="str">
        <f>IF(Dashboard!$E$10="","",Dashboard!$E$10)</f>
        <v/>
      </c>
      <c r="H35" s="141" t="str">
        <f>IF(Dashboard!$E$11="","",Dashboard!$E$11)</f>
        <v/>
      </c>
      <c r="I35" s="141" t="str">
        <f>IF(Dashboard!$E$12="","",Dashboard!$E$12)</f>
        <v/>
      </c>
      <c r="J35" s="141" t="str">
        <f>IF(Dashboard!$E$13="","",Dashboard!$E$13)</f>
        <v/>
      </c>
      <c r="K35" s="141" t="str">
        <f>IF(Dashboard!$E$14="","",Dashboard!$E$14)</f>
        <v/>
      </c>
      <c r="L35" s="141" t="str">
        <f t="shared" si="36"/>
        <v/>
      </c>
      <c r="M35" s="141" t="str">
        <f t="shared" si="33"/>
        <v/>
      </c>
      <c r="N35" s="142" t="str">
        <f>IF(ISERROR(D35),"",(D35*703)/(Dashboard!$E$6*Dashboard!$E$6))</f>
        <v/>
      </c>
      <c r="O35" s="141" t="str">
        <f>IF(ISERROR(D35),"",IF(D35&lt;=Dashboard!$P$5,"Club10 Achieved!",(Dashboard!$P$5-D35)*-1))</f>
        <v/>
      </c>
      <c r="P35" s="141" t="str">
        <f t="shared" si="27"/>
        <v/>
      </c>
      <c r="Q35" s="141" t="str">
        <f>IF(Dashboard!$E$10="","",IF(ISERROR(D35),"",IF($D35&gt;Dashboard!$E$10,$D35-Dashboard!$E$10,IF($D35="","","Target 1 ACHIEVED!"))))</f>
        <v/>
      </c>
      <c r="R35" s="141" t="str">
        <f t="shared" si="28"/>
        <v/>
      </c>
      <c r="S35" s="141" t="str">
        <f>IF(ISERROR(D35),"",IF(Dashboard!$E$11="","",IF($D35&gt;Dashboard!$E$11,$D35-Dashboard!$E$11,IF($D35="","","Target 2 ACHIEVED!"))))</f>
        <v/>
      </c>
      <c r="T35" s="141" t="str">
        <f t="shared" si="29"/>
        <v/>
      </c>
      <c r="U35" s="141" t="str">
        <f>IF(Dashboard!$E$12="","",IF(ISERROR(D35),"",IF($D35&gt;Dashboard!$E$12,$D35-Dashboard!$E$12,IF($D35="","","Target 3 ACHIEVED!"))))</f>
        <v/>
      </c>
      <c r="V35" s="141" t="str">
        <f t="shared" si="30"/>
        <v/>
      </c>
      <c r="W35" s="141" t="str">
        <f>IF(Dashboard!$E$13="","",IF(ISERROR(D35),"",IF($D35&gt;Dashboard!$E$13,$D35-Dashboard!$E$13,IF($D35="","","Target 4 ACHIEVED!"))))</f>
        <v/>
      </c>
      <c r="X35" s="141" t="str">
        <f t="shared" si="31"/>
        <v/>
      </c>
      <c r="Y35" s="141" t="str">
        <f>IF(ISERROR(D35),"",IF(Dashboard!$E$14="","",IF($D35&gt;Dashboard!$E$14,$D35-Dashboard!$E$14,IF($D35="","","Target ACHIEVED!"))))</f>
        <v/>
      </c>
      <c r="Z35" s="141" t="str">
        <f t="shared" si="32"/>
        <v/>
      </c>
      <c r="AA35" s="154" t="str">
        <f t="shared" si="37"/>
        <v/>
      </c>
    </row>
    <row r="36" spans="1:27" x14ac:dyDescent="0.2">
      <c r="A36" s="135" t="str">
        <f t="shared" si="34"/>
        <v/>
      </c>
      <c r="B36" s="136"/>
      <c r="C36" s="136"/>
      <c r="D36" s="137" t="e">
        <f t="shared" si="35"/>
        <v>#N/A</v>
      </c>
      <c r="E36" s="137" t="str">
        <f t="shared" si="26"/>
        <v/>
      </c>
      <c r="F36" s="137" t="str">
        <f>IF(Dashboard!$E$9="","",Dashboard!$E$9)</f>
        <v/>
      </c>
      <c r="G36" s="137" t="str">
        <f>IF(Dashboard!$E$10="","",Dashboard!$E$10)</f>
        <v/>
      </c>
      <c r="H36" s="137" t="str">
        <f>IF(Dashboard!$E$11="","",Dashboard!$E$11)</f>
        <v/>
      </c>
      <c r="I36" s="137" t="str">
        <f>IF(Dashboard!$E$12="","",Dashboard!$E$12)</f>
        <v/>
      </c>
      <c r="J36" s="137" t="str">
        <f>IF(Dashboard!$E$13="","",Dashboard!$E$13)</f>
        <v/>
      </c>
      <c r="K36" s="137" t="str">
        <f>IF(Dashboard!$E$14="","",Dashboard!$E$14)</f>
        <v/>
      </c>
      <c r="L36" s="137" t="str">
        <f t="shared" si="36"/>
        <v/>
      </c>
      <c r="M36" s="137" t="str">
        <f t="shared" si="33"/>
        <v/>
      </c>
      <c r="N36" s="138" t="str">
        <f>IF(ISERROR(D36),"",(D36*703)/(Dashboard!$E$6*Dashboard!$E$6))</f>
        <v/>
      </c>
      <c r="O36" s="137" t="str">
        <f>IF(ISERROR(D36),"",IF(D36&lt;=Dashboard!$P$5,"Club10 Achieved!",(Dashboard!$P$5-D36)*-1))</f>
        <v/>
      </c>
      <c r="P36" s="137" t="str">
        <f t="shared" si="27"/>
        <v/>
      </c>
      <c r="Q36" s="137" t="str">
        <f>IF(Dashboard!$E$10="","",IF(ISERROR(D36),"",IF($D36&gt;Dashboard!$E$10,$D36-Dashboard!$E$10,IF($D36="","","Target 1 ACHIEVED!"))))</f>
        <v/>
      </c>
      <c r="R36" s="137" t="str">
        <f t="shared" si="28"/>
        <v/>
      </c>
      <c r="S36" s="137" t="str">
        <f>IF(ISERROR(D36),"",IF(Dashboard!$E$11="","",IF($D36&gt;Dashboard!$E$11,$D36-Dashboard!$E$11,IF($D36="","","Target 2 ACHIEVED!"))))</f>
        <v/>
      </c>
      <c r="T36" s="137" t="str">
        <f t="shared" si="29"/>
        <v/>
      </c>
      <c r="U36" s="137" t="str">
        <f>IF(Dashboard!$E$12="","",IF(ISERROR(D36),"",IF($D36&gt;Dashboard!$E$12,$D36-Dashboard!$E$12,IF($D36="","","Target 3 ACHIEVED!"))))</f>
        <v/>
      </c>
      <c r="V36" s="137" t="str">
        <f t="shared" si="30"/>
        <v/>
      </c>
      <c r="W36" s="137" t="str">
        <f>IF(Dashboard!$E$13="","",IF(ISERROR(D36),"",IF($D36&gt;Dashboard!$E$13,$D36-Dashboard!$E$13,IF($D36="","","Target 4 ACHIEVED!"))))</f>
        <v/>
      </c>
      <c r="X36" s="137" t="str">
        <f t="shared" si="31"/>
        <v/>
      </c>
      <c r="Y36" s="137" t="str">
        <f>IF(ISERROR(D36),"",IF(Dashboard!$E$14="","",IF($D36&gt;Dashboard!$E$14,$D36-Dashboard!$E$14,IF($D36="","","Target ACHIEVED!"))))</f>
        <v/>
      </c>
      <c r="Z36" s="137" t="str">
        <f t="shared" si="32"/>
        <v/>
      </c>
      <c r="AA36" s="153" t="str">
        <f t="shared" si="37"/>
        <v/>
      </c>
    </row>
    <row r="37" spans="1:27" x14ac:dyDescent="0.2">
      <c r="A37" s="139" t="str">
        <f t="shared" si="34"/>
        <v/>
      </c>
      <c r="B37" s="140"/>
      <c r="C37" s="140"/>
      <c r="D37" s="141" t="e">
        <f t="shared" si="35"/>
        <v>#N/A</v>
      </c>
      <c r="E37" s="141" t="str">
        <f t="shared" si="26"/>
        <v/>
      </c>
      <c r="F37" s="141" t="str">
        <f>IF(Dashboard!$E$9="","",Dashboard!$E$9)</f>
        <v/>
      </c>
      <c r="G37" s="141" t="str">
        <f>IF(Dashboard!$E$10="","",Dashboard!$E$10)</f>
        <v/>
      </c>
      <c r="H37" s="141" t="str">
        <f>IF(Dashboard!$E$11="","",Dashboard!$E$11)</f>
        <v/>
      </c>
      <c r="I37" s="141" t="str">
        <f>IF(Dashboard!$E$12="","",Dashboard!$E$12)</f>
        <v/>
      </c>
      <c r="J37" s="141" t="str">
        <f>IF(Dashboard!$E$13="","",Dashboard!$E$13)</f>
        <v/>
      </c>
      <c r="K37" s="141" t="str">
        <f>IF(Dashboard!$E$14="","",Dashboard!$E$14)</f>
        <v/>
      </c>
      <c r="L37" s="141" t="str">
        <f t="shared" si="36"/>
        <v/>
      </c>
      <c r="M37" s="141" t="str">
        <f t="shared" si="33"/>
        <v/>
      </c>
      <c r="N37" s="142" t="str">
        <f>IF(ISERROR(D37),"",(D37*703)/(Dashboard!$E$6*Dashboard!$E$6))</f>
        <v/>
      </c>
      <c r="O37" s="141" t="str">
        <f>IF(ISERROR(D37),"",IF(D37&lt;=Dashboard!$P$5,"Club10 Achieved!",(Dashboard!$P$5-D37)*-1))</f>
        <v/>
      </c>
      <c r="P37" s="141" t="str">
        <f t="shared" si="27"/>
        <v/>
      </c>
      <c r="Q37" s="141" t="str">
        <f>IF(Dashboard!$E$10="","",IF(ISERROR(D37),"",IF($D37&gt;Dashboard!$E$10,$D37-Dashboard!$E$10,IF($D37="","","Target 1 ACHIEVED!"))))</f>
        <v/>
      </c>
      <c r="R37" s="141" t="str">
        <f t="shared" si="28"/>
        <v/>
      </c>
      <c r="S37" s="141" t="str">
        <f>IF(ISERROR(D37),"",IF(Dashboard!$E$11="","",IF($D37&gt;Dashboard!$E$11,$D37-Dashboard!$E$11,IF($D37="","","Target 2 ACHIEVED!"))))</f>
        <v/>
      </c>
      <c r="T37" s="141" t="str">
        <f t="shared" si="29"/>
        <v/>
      </c>
      <c r="U37" s="141" t="str">
        <f>IF(Dashboard!$E$12="","",IF(ISERROR(D37),"",IF($D37&gt;Dashboard!$E$12,$D37-Dashboard!$E$12,IF($D37="","","Target 3 ACHIEVED!"))))</f>
        <v/>
      </c>
      <c r="V37" s="141" t="str">
        <f t="shared" si="30"/>
        <v/>
      </c>
      <c r="W37" s="141" t="str">
        <f>IF(Dashboard!$E$13="","",IF(ISERROR(D37),"",IF($D37&gt;Dashboard!$E$13,$D37-Dashboard!$E$13,IF($D37="","","Target 4 ACHIEVED!"))))</f>
        <v/>
      </c>
      <c r="X37" s="141" t="str">
        <f t="shared" si="31"/>
        <v/>
      </c>
      <c r="Y37" s="141" t="str">
        <f>IF(ISERROR(D37),"",IF(Dashboard!$E$14="","",IF($D37&gt;Dashboard!$E$14,$D37-Dashboard!$E$14,IF($D37="","","Target ACHIEVED!"))))</f>
        <v/>
      </c>
      <c r="Z37" s="141" t="str">
        <f t="shared" si="32"/>
        <v/>
      </c>
      <c r="AA37" s="154" t="str">
        <f t="shared" si="37"/>
        <v/>
      </c>
    </row>
    <row r="38" spans="1:27" x14ac:dyDescent="0.2">
      <c r="A38" s="144" t="str">
        <f t="shared" si="34"/>
        <v/>
      </c>
      <c r="B38" s="145"/>
      <c r="C38" s="145"/>
      <c r="D38" s="146" t="e">
        <f t="shared" si="35"/>
        <v>#N/A</v>
      </c>
      <c r="E38" s="146" t="str">
        <f t="shared" si="26"/>
        <v/>
      </c>
      <c r="F38" s="146" t="str">
        <f>IF(Dashboard!$E$9="","",Dashboard!$E$9)</f>
        <v/>
      </c>
      <c r="G38" s="146" t="str">
        <f>IF(Dashboard!$E$10="","",Dashboard!$E$10)</f>
        <v/>
      </c>
      <c r="H38" s="146" t="str">
        <f>IF(Dashboard!$E$11="","",Dashboard!$E$11)</f>
        <v/>
      </c>
      <c r="I38" s="146" t="str">
        <f>IF(Dashboard!$E$12="","",Dashboard!$E$12)</f>
        <v/>
      </c>
      <c r="J38" s="146" t="str">
        <f>IF(Dashboard!$E$13="","",Dashboard!$E$13)</f>
        <v/>
      </c>
      <c r="K38" s="146" t="str">
        <f>IF(Dashboard!$E$14="","",Dashboard!$E$14)</f>
        <v/>
      </c>
      <c r="L38" s="146" t="str">
        <f t="shared" si="36"/>
        <v/>
      </c>
      <c r="M38" s="146" t="str">
        <f t="shared" si="33"/>
        <v/>
      </c>
      <c r="N38" s="147" t="str">
        <f>IF(ISERROR(D38),"",(D38*703)/(Dashboard!$E$6*Dashboard!$E$6))</f>
        <v/>
      </c>
      <c r="O38" s="146" t="str">
        <f>IF(ISERROR(D38),"",IF(D38&lt;=Dashboard!$P$5,"Club10 Achieved!",(Dashboard!$P$5-D38)*-1))</f>
        <v/>
      </c>
      <c r="P38" s="146" t="str">
        <f t="shared" si="27"/>
        <v/>
      </c>
      <c r="Q38" s="146" t="str">
        <f>IF(Dashboard!$E$10="","",IF(ISERROR(D38),"",IF($D38&gt;Dashboard!$E$10,$D38-Dashboard!$E$10,IF($D38="","","Target 1 ACHIEVED!"))))</f>
        <v/>
      </c>
      <c r="R38" s="146" t="str">
        <f t="shared" si="28"/>
        <v/>
      </c>
      <c r="S38" s="146" t="str">
        <f>IF(ISERROR(D38),"",IF(Dashboard!$E$11="","",IF($D38&gt;Dashboard!$E$11,$D38-Dashboard!$E$11,IF($D38="","","Target 2 ACHIEVED!"))))</f>
        <v/>
      </c>
      <c r="T38" s="146" t="str">
        <f t="shared" si="29"/>
        <v/>
      </c>
      <c r="U38" s="146" t="str">
        <f>IF(Dashboard!$E$12="","",IF(ISERROR(D38),"",IF($D38&gt;Dashboard!$E$12,$D38-Dashboard!$E$12,IF($D38="","","Target 3 ACHIEVED!"))))</f>
        <v/>
      </c>
      <c r="V38" s="146" t="str">
        <f t="shared" si="30"/>
        <v/>
      </c>
      <c r="W38" s="146" t="str">
        <f>IF(Dashboard!$E$13="","",IF(ISERROR(D38),"",IF($D38&gt;Dashboard!$E$13,$D38-Dashboard!$E$13,IF($D38="","","Target 4 ACHIEVED!"))))</f>
        <v/>
      </c>
      <c r="X38" s="146" t="str">
        <f t="shared" si="31"/>
        <v/>
      </c>
      <c r="Y38" s="146" t="str">
        <f>IF(ISERROR(D38),"",IF(Dashboard!$E$14="","",IF($D38&gt;Dashboard!$E$14,$D38-Dashboard!$E$14,IF($D38="","","Target ACHIEVED!"))))</f>
        <v/>
      </c>
      <c r="Z38" s="146" t="str">
        <f t="shared" si="32"/>
        <v/>
      </c>
      <c r="AA38" s="155" t="str">
        <f t="shared" si="37"/>
        <v/>
      </c>
    </row>
    <row r="39" spans="1:27" x14ac:dyDescent="0.2">
      <c r="A39" s="139" t="str">
        <f>IF(ISERROR(D39),"",A38+7)</f>
        <v/>
      </c>
      <c r="B39" s="140"/>
      <c r="C39" s="140"/>
      <c r="D39" s="141" t="e">
        <f t="shared" si="35"/>
        <v>#N/A</v>
      </c>
      <c r="E39" s="141" t="str">
        <f t="shared" ref="E39:E50" si="38">IF(ISERROR(D39),"",D39)</f>
        <v/>
      </c>
      <c r="F39" s="141" t="str">
        <f>IF(Dashboard!$E$9="","",Dashboard!$E$9)</f>
        <v/>
      </c>
      <c r="G39" s="141" t="str">
        <f>IF(Dashboard!$E$10="","",Dashboard!$E$10)</f>
        <v/>
      </c>
      <c r="H39" s="141" t="str">
        <f>IF(Dashboard!$E$11="","",Dashboard!$E$11)</f>
        <v/>
      </c>
      <c r="I39" s="141" t="str">
        <f>IF(Dashboard!$E$12="","",Dashboard!$E$12)</f>
        <v/>
      </c>
      <c r="J39" s="141" t="str">
        <f>IF(Dashboard!$E$13="","",Dashboard!$E$13)</f>
        <v/>
      </c>
      <c r="K39" s="141" t="str">
        <f>IF(Dashboard!$E$14="","",Dashboard!$E$14)</f>
        <v/>
      </c>
      <c r="L39" s="141" t="str">
        <f>IF(ISERROR(D39),"",D39-D38)</f>
        <v/>
      </c>
      <c r="M39" s="141" t="str">
        <f>IF(B39="","",$D$2-D39)</f>
        <v/>
      </c>
      <c r="N39" s="142" t="str">
        <f>IF(ISERROR(D39),"",(D39*703)/(Dashboard!$E$6*Dashboard!$E$6))</f>
        <v/>
      </c>
      <c r="O39" s="141" t="str">
        <f>IF(ISERROR(D39),"",IF(D39&lt;=Dashboard!$P$5,"Club10 Achieved!",(Dashboard!$P$5-D39)*-1))</f>
        <v/>
      </c>
      <c r="P39" s="141" t="str">
        <f t="shared" ref="P39:P50" si="39">IF(O39="","",IF(O39="Club10 Achieved!","Club10 Achieved!",CONCATENATE(ROUNDDOWN(O39/14,0)," st ",MOD(O39,14)," lbs")))</f>
        <v/>
      </c>
      <c r="Q39" s="141" t="str">
        <f>IF(Dashboard!$E$10="","",IF(ISERROR(D39),"",IF($D39&gt;Dashboard!$E$10,$D39-Dashboard!$E$10,IF($D39="","","Target 1 ACHIEVED!"))))</f>
        <v/>
      </c>
      <c r="R39" s="141" t="str">
        <f t="shared" ref="R39:R50" si="40">IF(Q39="","",IF(Q39="Target 1 ACHIEVED!","Target 1 ACHIEVED!",CONCATENATE(ROUNDDOWN(Q39/14,0)," st ",MOD(Q39,14)," lbs")))</f>
        <v/>
      </c>
      <c r="S39" s="141" t="str">
        <f>IF(ISERROR(D39),"",IF(Dashboard!$E$11="","",IF($D39&gt;Dashboard!$E$11,$D39-Dashboard!$E$11,IF($D39="","","Target 2 ACHIEVED!"))))</f>
        <v/>
      </c>
      <c r="T39" s="141" t="str">
        <f t="shared" ref="T39:T50" si="41">IF(S39="","",IF(S39="Target 2 ACHIEVED!","Target 2 ACHIEVED!",CONCATENATE(ROUNDDOWN(S39/14,0)," st ",MOD(S39,14)," lbs")))</f>
        <v/>
      </c>
      <c r="U39" s="141" t="str">
        <f>IF(Dashboard!$E$12="","",IF(ISERROR(D39),"",IF($D39&gt;Dashboard!$E$12,$D39-Dashboard!$E$12,IF($D39="","","Target 3 ACHIEVED!"))))</f>
        <v/>
      </c>
      <c r="V39" s="141" t="str">
        <f t="shared" ref="V39:V50" si="42">IF(U39="","",IF(U39="Target 3 ACHIEVED!","Target 3 ACHIEVED!",CONCATENATE(ROUNDDOWN(U39/14,0)," st ",MOD(U39,14)," lbs")))</f>
        <v/>
      </c>
      <c r="W39" s="141" t="str">
        <f>IF(Dashboard!$E$13="","",IF(ISERROR(D39),"",IF($D39&gt;Dashboard!$E$13,$D39-Dashboard!$E$13,IF($D39="","","Target 4 ACHIEVED!"))))</f>
        <v/>
      </c>
      <c r="X39" s="141" t="str">
        <f t="shared" ref="X39:X50" si="43">IF(W39="","",IF(W39="Target 4 ACHIEVED!","Target 4 ACHIEVED!",CONCATENATE(ROUNDDOWN(W39/14,0)," st ",MOD(W39,14)," lbs")))</f>
        <v/>
      </c>
      <c r="Y39" s="141" t="str">
        <f>IF(ISERROR(D39),"",IF(Dashboard!$E$14="","",IF($D39&gt;Dashboard!$E$14,$D39-Dashboard!$E$14,IF($D39="","","Target ACHIEVED!"))))</f>
        <v/>
      </c>
      <c r="Z39" s="141" t="str">
        <f t="shared" ref="Z39:Z50" si="44">IF(Y39="","",IF(Y39="Target ACHIEVED!","Target ACHIEVED!",CONCATENATE(ROUNDDOWN(Y39/14,0)," st ",MOD(Y39,14)," lbs")))</f>
        <v/>
      </c>
      <c r="AA39" s="154" t="str">
        <f>IF((AND(M39&lt;=202.5,M39&gt;=196)),"14 STONE",
 IF((AND(M39&lt;=195.5,M39&gt;=189)),"13.5 STONE",
 IF((AND(M39&lt;=188.5,M39&gt;=182)),"13 STONE",
 IF((AND(M39&lt;=181.5,M39&gt;=175)),"12.5 STONE",
 IF((AND(M39&lt;=174.5,M39&gt;=168)),"12 STONE",
 IF((AND(M39&lt;=167.5,M39&gt;=161)),"11.5 STONE",
 IF((AND(M39&lt;=160.5,M39&gt;=154)),"11 STONE",
 IF((AND(M39&lt;=153.5,M39&gt;=147)),"10.5 STONE",
 IF((AND(M39&lt;=146.5,M39&gt;=140)),"10 STONE",
 IF((AND(M39&lt;=139.5,M39&gt;=133)),"9.5 STONE",
 IF((AND(M39&lt;=132.5,M39&gt;=126)),"9 STONE",
 IF((AND(M39&lt;=125.5,M39&gt;=119)),"8.5 STONE",
 IF((AND(M39&lt;=118.5,M39&gt;=112)),"8 STONE",
 IF((AND(M39&lt;=111.5,M39&gt;=105)),"7.5 STONE",
 IF((AND(M39&lt;=104.5,M39&gt;=98)),"7 STONE",
 IF((AND(M39&lt;=97.5,M39&gt;=91)),"6.5 STONE",
 IF((AND(M39&lt;=90.5,M39&gt;=84)),"6 STONE",
 IF((AND(M39&lt;=83.5,M39&gt;=77)),"5.5 STONE",
 IF((AND(M39&lt;=76.5,M39&gt;=70)),"5 STONE",
 IF((AND(M39&lt;=69.5,M39&gt;=63)),"4.5 STONE",
 IF((AND(M39&lt;=62.5,M39&gt;=56)),"4 STONE",
 IF((AND(M39&lt;=55.5,M39&gt;=49)),"3.5 STONE",
 IF((AND(M39&lt;=48.5,M39&gt;=42)),"3 STONE",
 IF((AND(M39&lt;=41.5,M39&gt;=35)),"2.5 STONE",
 IF((AND(M39&lt;=34.5,M39&gt;=28)),"2 STONE",
 IF((AND(M39&lt;=27.5,M39&gt;=21)),"1.5 STONE",
 IF((AND(M39&lt;=20.5,M39&gt;=14)),"1 STONE",
 IF((AND(M39&lt;=13.5,M39&gt;=7)),"0.5 STONE",
 IF((AND(M39&lt;=6.5,M39&gt;=0)),"",
 "")))))))))))))))))))))))))))))</f>
        <v/>
      </c>
    </row>
    <row r="40" spans="1:27" x14ac:dyDescent="0.2">
      <c r="A40" s="135" t="str">
        <f>IF(ISERROR(D40),"",A39+7)</f>
        <v/>
      </c>
      <c r="B40" s="136"/>
      <c r="C40" s="136"/>
      <c r="D40" s="137" t="e">
        <f>IF(B40="",NA(),(B40*14)+C40)</f>
        <v>#N/A</v>
      </c>
      <c r="E40" s="137" t="str">
        <f t="shared" si="38"/>
        <v/>
      </c>
      <c r="F40" s="137" t="str">
        <f>IF(Dashboard!$E$9="","",Dashboard!$E$9)</f>
        <v/>
      </c>
      <c r="G40" s="137" t="str">
        <f>IF(Dashboard!$E$10="","",Dashboard!$E$10)</f>
        <v/>
      </c>
      <c r="H40" s="137" t="str">
        <f>IF(Dashboard!$E$11="","",Dashboard!$E$11)</f>
        <v/>
      </c>
      <c r="I40" s="137" t="str">
        <f>IF(Dashboard!$E$12="","",Dashboard!$E$12)</f>
        <v/>
      </c>
      <c r="J40" s="137" t="str">
        <f>IF(Dashboard!$E$13="","",Dashboard!$E$13)</f>
        <v/>
      </c>
      <c r="K40" s="137" t="str">
        <f>IF(Dashboard!$E$14="","",Dashboard!$E$14)</f>
        <v/>
      </c>
      <c r="L40" s="137" t="str">
        <f>IF(ISERROR(D40),"",D40-D39)</f>
        <v/>
      </c>
      <c r="M40" s="137" t="str">
        <f t="shared" ref="M40:M50" si="45">IF(B40="","",$D$2-D40)</f>
        <v/>
      </c>
      <c r="N40" s="138" t="str">
        <f>IF(ISERROR(D40),"",(D40*703)/(Dashboard!$E$6*Dashboard!$E$6))</f>
        <v/>
      </c>
      <c r="O40" s="137" t="str">
        <f>IF(ISERROR(D40),"",IF(D40&lt;=Dashboard!$P$5,"Club10 Achieved!",(Dashboard!$P$5-D40)*-1))</f>
        <v/>
      </c>
      <c r="P40" s="137" t="str">
        <f t="shared" si="39"/>
        <v/>
      </c>
      <c r="Q40" s="137" t="str">
        <f>IF(Dashboard!$E$10="","",IF(ISERROR(D40),"",IF($D40&gt;Dashboard!$E$10,$D40-Dashboard!$E$10,IF($D40="","","Target 1 ACHIEVED!"))))</f>
        <v/>
      </c>
      <c r="R40" s="137" t="str">
        <f t="shared" si="40"/>
        <v/>
      </c>
      <c r="S40" s="137" t="str">
        <f>IF(ISERROR(D40),"",IF(Dashboard!$E$11="","",IF($D40&gt;Dashboard!$E$11,$D40-Dashboard!$E$11,IF($D40="","","Target 2 ACHIEVED!"))))</f>
        <v/>
      </c>
      <c r="T40" s="137" t="str">
        <f t="shared" si="41"/>
        <v/>
      </c>
      <c r="U40" s="137" t="str">
        <f>IF(Dashboard!$E$12="","",IF(ISERROR(D40),"",IF($D40&gt;Dashboard!$E$12,$D40-Dashboard!$E$12,IF($D40="","","Target 3 ACHIEVED!"))))</f>
        <v/>
      </c>
      <c r="V40" s="137" t="str">
        <f t="shared" si="42"/>
        <v/>
      </c>
      <c r="W40" s="137" t="str">
        <f>IF(Dashboard!$E$13="","",IF(ISERROR(D40),"",IF($D40&gt;Dashboard!$E$13,$D40-Dashboard!$E$13,IF($D40="","","Target 4 ACHIEVED!"))))</f>
        <v/>
      </c>
      <c r="X40" s="137" t="str">
        <f t="shared" si="43"/>
        <v/>
      </c>
      <c r="Y40" s="137" t="str">
        <f>IF(ISERROR(D40),"",IF(Dashboard!$E$14="","",IF($D40&gt;Dashboard!$E$14,$D40-Dashboard!$E$14,IF($D40="","","Target ACHIEVED!"))))</f>
        <v/>
      </c>
      <c r="Z40" s="137" t="str">
        <f t="shared" si="44"/>
        <v/>
      </c>
      <c r="AA40" s="153" t="str">
        <f>IF((AND(M40&lt;=202.5,M40&gt;=196)),"14 STONE",
 IF((AND(M40&lt;=195.5,M40&gt;=189)),"13.5 STONE",
 IF((AND(M40&lt;=188.5,M40&gt;=182)),"13 STONE",
 IF((AND(M40&lt;=181.5,M40&gt;=175)),"12.5 STONE",
 IF((AND(M40&lt;=174.5,M40&gt;=168)),"12 STONE",
 IF((AND(M40&lt;=167.5,M40&gt;=161)),"11.5 STONE",
 IF((AND(M40&lt;=160.5,M40&gt;=154)),"11 STONE",
 IF((AND(M40&lt;=153.5,M40&gt;=147)),"10.5 STONE",
 IF((AND(M40&lt;=146.5,M40&gt;=140)),"10 STONE",
 IF((AND(M40&lt;=139.5,M40&gt;=133)),"9.5 STONE",
 IF((AND(M40&lt;=132.5,M40&gt;=126)),"9 STONE",
 IF((AND(M40&lt;=125.5,M40&gt;=119)),"8.5 STONE",
 IF((AND(M40&lt;=118.5,M40&gt;=112)),"8 STONE",
 IF((AND(M40&lt;=111.5,M40&gt;=105)),"7.5 STONE",
 IF((AND(M40&lt;=104.5,M40&gt;=98)),"7 STONE",
 IF((AND(M40&lt;=97.5,M40&gt;=91)),"6.5 STONE",
 IF((AND(M40&lt;=90.5,M40&gt;=84)),"6 STONE",
 IF((AND(M40&lt;=83.5,M40&gt;=77)),"5.5 STONE",
 IF((AND(M40&lt;=76.5,M40&gt;=70)),"5 STONE",
 IF((AND(M40&lt;=69.5,M40&gt;=63)),"4.5 STONE",
 IF((AND(M40&lt;=62.5,M40&gt;=56)),"4 STONE",
 IF((AND(M40&lt;=55.5,M40&gt;=49)),"3.5 STONE",
 IF((AND(M40&lt;=48.5,M40&gt;=42)),"3 STONE",
 IF((AND(M40&lt;=41.5,M40&gt;=35)),"2.5 STONE",
 IF((AND(M40&lt;=34.5,M40&gt;=28)),"2 STONE",
 IF((AND(M40&lt;=27.5,M40&gt;=21)),"1.5 STONE",
 IF((AND(M40&lt;=20.5,M40&gt;=14)),"1 STONE",
 IF((AND(M40&lt;=13.5,M40&gt;=7)),"0.5 STONE",
 IF((AND(M40&lt;=6.5,M40&gt;=0)),"",
 "")))))))))))))))))))))))))))))</f>
        <v/>
      </c>
    </row>
    <row r="41" spans="1:27" x14ac:dyDescent="0.2">
      <c r="A41" s="139" t="str">
        <f t="shared" ref="A41:A50" si="46">IF(ISERROR(D41),"",A40+7)</f>
        <v/>
      </c>
      <c r="B41" s="140"/>
      <c r="C41" s="140"/>
      <c r="D41" s="141" t="e">
        <f t="shared" ref="D41:D50" si="47">IF(B41="",NA(),(B41*14)+C41)</f>
        <v>#N/A</v>
      </c>
      <c r="E41" s="141" t="str">
        <f t="shared" si="38"/>
        <v/>
      </c>
      <c r="F41" s="141" t="str">
        <f>IF(Dashboard!$E$9="","",Dashboard!$E$9)</f>
        <v/>
      </c>
      <c r="G41" s="141" t="str">
        <f>IF(Dashboard!$E$10="","",Dashboard!$E$10)</f>
        <v/>
      </c>
      <c r="H41" s="141" t="str">
        <f>IF(Dashboard!$E$11="","",Dashboard!$E$11)</f>
        <v/>
      </c>
      <c r="I41" s="141" t="str">
        <f>IF(Dashboard!$E$12="","",Dashboard!$E$12)</f>
        <v/>
      </c>
      <c r="J41" s="141" t="str">
        <f>IF(Dashboard!$E$13="","",Dashboard!$E$13)</f>
        <v/>
      </c>
      <c r="K41" s="141" t="str">
        <f>IF(Dashboard!$E$14="","",Dashboard!$E$14)</f>
        <v/>
      </c>
      <c r="L41" s="141" t="str">
        <f t="shared" ref="L41:L50" si="48">IF(ISERROR(D41),"",D41-D40)</f>
        <v/>
      </c>
      <c r="M41" s="141" t="str">
        <f t="shared" si="45"/>
        <v/>
      </c>
      <c r="N41" s="142" t="str">
        <f>IF(ISERROR(D41),"",(D41*703)/(Dashboard!$E$6*Dashboard!$E$6))</f>
        <v/>
      </c>
      <c r="O41" s="141" t="str">
        <f>IF(ISERROR(D41),"",IF(D41&lt;=Dashboard!$P$5,"Club10 Achieved!",(Dashboard!$P$5-D41)*-1))</f>
        <v/>
      </c>
      <c r="P41" s="141" t="str">
        <f t="shared" si="39"/>
        <v/>
      </c>
      <c r="Q41" s="141" t="str">
        <f>IF(Dashboard!$E$10="","",IF(ISERROR(D41),"",IF($D41&gt;Dashboard!$E$10,$D41-Dashboard!$E$10,IF($D41="","","Target 1 ACHIEVED!"))))</f>
        <v/>
      </c>
      <c r="R41" s="141" t="str">
        <f t="shared" si="40"/>
        <v/>
      </c>
      <c r="S41" s="141" t="str">
        <f>IF(ISERROR(D41),"",IF(Dashboard!$E$11="","",IF($D41&gt;Dashboard!$E$11,$D41-Dashboard!$E$11,IF($D41="","","Target 2 ACHIEVED!"))))</f>
        <v/>
      </c>
      <c r="T41" s="141" t="str">
        <f t="shared" si="41"/>
        <v/>
      </c>
      <c r="U41" s="141" t="str">
        <f>IF(Dashboard!$E$12="","",IF(ISERROR(D41),"",IF($D41&gt;Dashboard!$E$12,$D41-Dashboard!$E$12,IF($D41="","","Target 3 ACHIEVED!"))))</f>
        <v/>
      </c>
      <c r="V41" s="141" t="str">
        <f t="shared" si="42"/>
        <v/>
      </c>
      <c r="W41" s="141" t="str">
        <f>IF(Dashboard!$E$13="","",IF(ISERROR(D41),"",IF($D41&gt;Dashboard!$E$13,$D41-Dashboard!$E$13,IF($D41="","","Target 4 ACHIEVED!"))))</f>
        <v/>
      </c>
      <c r="X41" s="141" t="str">
        <f t="shared" si="43"/>
        <v/>
      </c>
      <c r="Y41" s="141" t="str">
        <f>IF(ISERROR(D41),"",IF(Dashboard!$E$14="","",IF($D41&gt;Dashboard!$E$14,$D41-Dashboard!$E$14,IF($D41="","","Target ACHIEVED!"))))</f>
        <v/>
      </c>
      <c r="Z41" s="141" t="str">
        <f t="shared" si="44"/>
        <v/>
      </c>
      <c r="AA41" s="154" t="str">
        <f>IF((AND(M41&lt;=202.5,M41&gt;=196)),"14 STONE",
 IF((AND(M41&lt;=195.5,M41&gt;=189)),"13.5 STONE",
 IF((AND(M41&lt;=188.5,M41&gt;=182)),"13 STONE",
 IF((AND(M41&lt;=181.5,M41&gt;=175)),"12.5 STONE",
 IF((AND(M41&lt;=174.5,M41&gt;=168)),"12 STONE",
 IF((AND(M41&lt;=167.5,M41&gt;=161)),"11.5 STONE",
 IF((AND(M41&lt;=160.5,M41&gt;=154)),"11 STONE",
 IF((AND(M41&lt;=153.5,M41&gt;=147)),"10.5 STONE",
 IF((AND(M41&lt;=146.5,M41&gt;=140)),"10 STONE",
 IF((AND(M41&lt;=139.5,M41&gt;=133)),"9.5 STONE",
 IF((AND(M41&lt;=132.5,M41&gt;=126)),"9 STONE",
 IF((AND(M41&lt;=125.5,M41&gt;=119)),"8.5 STONE",
 IF((AND(M41&lt;=118.5,M41&gt;=112)),"8 STONE",
 IF((AND(M41&lt;=111.5,M41&gt;=105)),"7.5 STONE",
 IF((AND(M41&lt;=104.5,M41&gt;=98)),"7 STONE",
 IF((AND(M41&lt;=97.5,M41&gt;=91)),"6.5 STONE",
 IF((AND(M41&lt;=90.5,M41&gt;=84)),"6 STONE",
 IF((AND(M41&lt;=83.5,M41&gt;=77)),"5.5 STONE",
 IF((AND(M41&lt;=76.5,M41&gt;=70)),"5 STONE",
 IF((AND(M41&lt;=69.5,M41&gt;=63)),"4.5 STONE",
 IF((AND(M41&lt;=62.5,M41&gt;=56)),"4 STONE",
 IF((AND(M41&lt;=55.5,M41&gt;=49)),"3.5 STONE",
 IF((AND(M41&lt;=48.5,M41&gt;=42)),"3 STONE",
 IF((AND(M41&lt;=41.5,M41&gt;=35)),"2.5 STONE",
 IF((AND(M41&lt;=34.5,M41&gt;=28)),"2 STONE",
 IF((AND(M41&lt;=27.5,M41&gt;=21)),"1.5 STONE",
 IF((AND(M41&lt;=20.5,M41&gt;=14)),"1 STONE",
 IF((AND(M41&lt;=13.5,M41&gt;=7)),"0.5 STONE",
 IF((AND(M41&lt;=6.5,M41&gt;=0)),"",
 "")))))))))))))))))))))))))))))</f>
        <v/>
      </c>
    </row>
    <row r="42" spans="1:27" x14ac:dyDescent="0.2">
      <c r="A42" s="135" t="str">
        <f t="shared" si="46"/>
        <v/>
      </c>
      <c r="B42" s="136"/>
      <c r="C42" s="136"/>
      <c r="D42" s="137" t="e">
        <f t="shared" si="47"/>
        <v>#N/A</v>
      </c>
      <c r="E42" s="137" t="str">
        <f t="shared" si="38"/>
        <v/>
      </c>
      <c r="F42" s="137" t="str">
        <f>IF(Dashboard!$E$9="","",Dashboard!$E$9)</f>
        <v/>
      </c>
      <c r="G42" s="137" t="str">
        <f>IF(Dashboard!$E$10="","",Dashboard!$E$10)</f>
        <v/>
      </c>
      <c r="H42" s="137" t="str">
        <f>IF(Dashboard!$E$11="","",Dashboard!$E$11)</f>
        <v/>
      </c>
      <c r="I42" s="137" t="str">
        <f>IF(Dashboard!$E$12="","",Dashboard!$E$12)</f>
        <v/>
      </c>
      <c r="J42" s="137" t="str">
        <f>IF(Dashboard!$E$13="","",Dashboard!$E$13)</f>
        <v/>
      </c>
      <c r="K42" s="137" t="str">
        <f>IF(Dashboard!$E$14="","",Dashboard!$E$14)</f>
        <v/>
      </c>
      <c r="L42" s="137" t="str">
        <f t="shared" si="48"/>
        <v/>
      </c>
      <c r="M42" s="137" t="str">
        <f t="shared" si="45"/>
        <v/>
      </c>
      <c r="N42" s="138" t="str">
        <f>IF(ISERROR(D42),"",(D42*703)/(Dashboard!$E$6*Dashboard!$E$6))</f>
        <v/>
      </c>
      <c r="O42" s="137" t="str">
        <f>IF(ISERROR(D42),"",IF(D42&lt;=Dashboard!$P$5,"Club10 Achieved!",(Dashboard!$P$5-D42)*-1))</f>
        <v/>
      </c>
      <c r="P42" s="137" t="str">
        <f t="shared" si="39"/>
        <v/>
      </c>
      <c r="Q42" s="137" t="str">
        <f>IF(Dashboard!$E$10="","",IF(ISERROR(D42),"",IF($D42&gt;Dashboard!$E$10,$D42-Dashboard!$E$10,IF($D42="","","Target 1 ACHIEVED!"))))</f>
        <v/>
      </c>
      <c r="R42" s="137" t="str">
        <f t="shared" si="40"/>
        <v/>
      </c>
      <c r="S42" s="137" t="str">
        <f>IF(ISERROR(D42),"",IF(Dashboard!$E$11="","",IF($D42&gt;Dashboard!$E$11,$D42-Dashboard!$E$11,IF($D42="","","Target 2 ACHIEVED!"))))</f>
        <v/>
      </c>
      <c r="T42" s="137" t="str">
        <f t="shared" si="41"/>
        <v/>
      </c>
      <c r="U42" s="137" t="str">
        <f>IF(Dashboard!$E$12="","",IF(ISERROR(D42),"",IF($D42&gt;Dashboard!$E$12,$D42-Dashboard!$E$12,IF($D42="","","Target 3 ACHIEVED!"))))</f>
        <v/>
      </c>
      <c r="V42" s="137" t="str">
        <f t="shared" si="42"/>
        <v/>
      </c>
      <c r="W42" s="137" t="str">
        <f>IF(Dashboard!$E$13="","",IF(ISERROR(D42),"",IF($D42&gt;Dashboard!$E$13,$D42-Dashboard!$E$13,IF($D42="","","Target 4 ACHIEVED!"))))</f>
        <v/>
      </c>
      <c r="X42" s="137" t="str">
        <f t="shared" si="43"/>
        <v/>
      </c>
      <c r="Y42" s="137" t="str">
        <f>IF(ISERROR(D42),"",IF(Dashboard!$E$14="","",IF($D42&gt;Dashboard!$E$14,$D42-Dashboard!$E$14,IF($D42="","","Target ACHIEVED!"))))</f>
        <v/>
      </c>
      <c r="Z42" s="137" t="str">
        <f t="shared" si="44"/>
        <v/>
      </c>
      <c r="AA42" s="153" t="str">
        <f t="shared" ref="AA42:AA50" si="49">IF((AND(M42&lt;=202.5,M42&gt;=196)),"14 STONE",
 IF((AND(M42&lt;=195.5,M42&gt;=189)),"13.5 STONE",
 IF((AND(M42&lt;=188.5,M42&gt;=182)),"13 STONE",
 IF((AND(M42&lt;=181.5,M42&gt;=175)),"12.5 STONE",
 IF((AND(M42&lt;=174.5,M42&gt;=168)),"12 STONE",
 IF((AND(M42&lt;=167.5,M42&gt;=161)),"11.5 STONE",
 IF((AND(M42&lt;=160.5,M42&gt;=154)),"11 STONE",
 IF((AND(M42&lt;=153.5,M42&gt;=147)),"10.5 STONE",
 IF((AND(M42&lt;=146.5,M42&gt;=140)),"10 STONE",
 IF((AND(M42&lt;=139.5,M42&gt;=133)),"9.5 STONE",
 IF((AND(M42&lt;=132.5,M42&gt;=126)),"9 STONE",
 IF((AND(M42&lt;=125.5,M42&gt;=119)),"8.5 STONE",
 IF((AND(M42&lt;=118.5,M42&gt;=112)),"8 STONE",
 IF((AND(M42&lt;=111.5,M42&gt;=105)),"7.5 STONE",
 IF((AND(M42&lt;=104.5,M42&gt;=98)),"7 STONE",
 IF((AND(M42&lt;=97.5,M42&gt;=91)),"6.5 STONE",
 IF((AND(M42&lt;=90.5,M42&gt;=84)),"6 STONE",
 IF((AND(M42&lt;=83.5,M42&gt;=77)),"5.5 STONE",
 IF((AND(M42&lt;=76.5,M42&gt;=70)),"5 STONE",
 IF((AND(M42&lt;=69.5,M42&gt;=63)),"4.5 STONE",
 IF((AND(M42&lt;=62.5,M42&gt;=56)),"4 STONE",
 IF((AND(M42&lt;=55.5,M42&gt;=49)),"3.5 STONE",
 IF((AND(M42&lt;=48.5,M42&gt;=42)),"3 STONE",
 IF((AND(M42&lt;=41.5,M42&gt;=35)),"2.5 STONE",
 IF((AND(M42&lt;=34.5,M42&gt;=28)),"2 STONE",
 IF((AND(M42&lt;=27.5,M42&gt;=21)),"1.5 STONE",
 IF((AND(M42&lt;=20.5,M42&gt;=14)),"1 STONE",
 IF((AND(M42&lt;=13.5,M42&gt;=7)),"0.5 STONE",
 IF((AND(M42&lt;=6.5,M42&gt;=0)),"",
 "")))))))))))))))))))))))))))))</f>
        <v/>
      </c>
    </row>
    <row r="43" spans="1:27" x14ac:dyDescent="0.2">
      <c r="A43" s="139" t="str">
        <f t="shared" si="46"/>
        <v/>
      </c>
      <c r="B43" s="140"/>
      <c r="C43" s="140"/>
      <c r="D43" s="141" t="e">
        <f t="shared" si="47"/>
        <v>#N/A</v>
      </c>
      <c r="E43" s="141" t="str">
        <f t="shared" si="38"/>
        <v/>
      </c>
      <c r="F43" s="141" t="str">
        <f>IF(Dashboard!$E$9="","",Dashboard!$E$9)</f>
        <v/>
      </c>
      <c r="G43" s="141" t="str">
        <f>IF(Dashboard!$E$10="","",Dashboard!$E$10)</f>
        <v/>
      </c>
      <c r="H43" s="141" t="str">
        <f>IF(Dashboard!$E$11="","",Dashboard!$E$11)</f>
        <v/>
      </c>
      <c r="I43" s="141" t="str">
        <f>IF(Dashboard!$E$12="","",Dashboard!$E$12)</f>
        <v/>
      </c>
      <c r="J43" s="141" t="str">
        <f>IF(Dashboard!$E$13="","",Dashboard!$E$13)</f>
        <v/>
      </c>
      <c r="K43" s="141" t="str">
        <f>IF(Dashboard!$E$14="","",Dashboard!$E$14)</f>
        <v/>
      </c>
      <c r="L43" s="141" t="str">
        <f t="shared" si="48"/>
        <v/>
      </c>
      <c r="M43" s="141" t="str">
        <f t="shared" si="45"/>
        <v/>
      </c>
      <c r="N43" s="142" t="str">
        <f>IF(ISERROR(D43),"",(D43*703)/(Dashboard!$E$6*Dashboard!$E$6))</f>
        <v/>
      </c>
      <c r="O43" s="141" t="str">
        <f>IF(ISERROR(D43),"",IF(D43&lt;=Dashboard!$P$5,"Club10 Achieved!",(Dashboard!$P$5-D43)*-1))</f>
        <v/>
      </c>
      <c r="P43" s="141" t="str">
        <f t="shared" si="39"/>
        <v/>
      </c>
      <c r="Q43" s="141" t="str">
        <f>IF(Dashboard!$E$10="","",IF(ISERROR(D43),"",IF($D43&gt;Dashboard!$E$10,$D43-Dashboard!$E$10,IF($D43="","","Target 1 ACHIEVED!"))))</f>
        <v/>
      </c>
      <c r="R43" s="141" t="str">
        <f t="shared" si="40"/>
        <v/>
      </c>
      <c r="S43" s="141" t="str">
        <f>IF(ISERROR(D43),"",IF(Dashboard!$E$11="","",IF($D43&gt;Dashboard!$E$11,$D43-Dashboard!$E$11,IF($D43="","","Target 2 ACHIEVED!"))))</f>
        <v/>
      </c>
      <c r="T43" s="141" t="str">
        <f t="shared" si="41"/>
        <v/>
      </c>
      <c r="U43" s="141" t="str">
        <f>IF(Dashboard!$E$12="","",IF(ISERROR(D43),"",IF($D43&gt;Dashboard!$E$12,$D43-Dashboard!$E$12,IF($D43="","","Target 3 ACHIEVED!"))))</f>
        <v/>
      </c>
      <c r="V43" s="141" t="str">
        <f t="shared" si="42"/>
        <v/>
      </c>
      <c r="W43" s="141" t="str">
        <f>IF(Dashboard!$E$13="","",IF(ISERROR(D43),"",IF($D43&gt;Dashboard!$E$13,$D43-Dashboard!$E$13,IF($D43="","","Target 4 ACHIEVED!"))))</f>
        <v/>
      </c>
      <c r="X43" s="141" t="str">
        <f t="shared" si="43"/>
        <v/>
      </c>
      <c r="Y43" s="141" t="str">
        <f>IF(ISERROR(D43),"",IF(Dashboard!$E$14="","",IF($D43&gt;Dashboard!$E$14,$D43-Dashboard!$E$14,IF($D43="","","Target ACHIEVED!"))))</f>
        <v/>
      </c>
      <c r="Z43" s="141" t="str">
        <f t="shared" si="44"/>
        <v/>
      </c>
      <c r="AA43" s="154" t="str">
        <f t="shared" si="49"/>
        <v/>
      </c>
    </row>
    <row r="44" spans="1:27" x14ac:dyDescent="0.2">
      <c r="A44" s="135" t="str">
        <f t="shared" si="46"/>
        <v/>
      </c>
      <c r="B44" s="136"/>
      <c r="C44" s="136"/>
      <c r="D44" s="137" t="e">
        <f t="shared" si="47"/>
        <v>#N/A</v>
      </c>
      <c r="E44" s="137" t="str">
        <f t="shared" si="38"/>
        <v/>
      </c>
      <c r="F44" s="137" t="str">
        <f>IF(Dashboard!$E$9="","",Dashboard!$E$9)</f>
        <v/>
      </c>
      <c r="G44" s="137" t="str">
        <f>IF(Dashboard!$E$10="","",Dashboard!$E$10)</f>
        <v/>
      </c>
      <c r="H44" s="137" t="str">
        <f>IF(Dashboard!$E$11="","",Dashboard!$E$11)</f>
        <v/>
      </c>
      <c r="I44" s="137" t="str">
        <f>IF(Dashboard!$E$12="","",Dashboard!$E$12)</f>
        <v/>
      </c>
      <c r="J44" s="137" t="str">
        <f>IF(Dashboard!$E$13="","",Dashboard!$E$13)</f>
        <v/>
      </c>
      <c r="K44" s="137" t="str">
        <f>IF(Dashboard!$E$14="","",Dashboard!$E$14)</f>
        <v/>
      </c>
      <c r="L44" s="137" t="str">
        <f t="shared" si="48"/>
        <v/>
      </c>
      <c r="M44" s="137" t="str">
        <f t="shared" si="45"/>
        <v/>
      </c>
      <c r="N44" s="138" t="str">
        <f>IF(ISERROR(D44),"",(D44*703)/(Dashboard!$E$6*Dashboard!$E$6))</f>
        <v/>
      </c>
      <c r="O44" s="137" t="str">
        <f>IF(ISERROR(D44),"",IF(D44&lt;=Dashboard!$P$5,"Club10 Achieved!",(Dashboard!$P$5-D44)*-1))</f>
        <v/>
      </c>
      <c r="P44" s="137" t="str">
        <f t="shared" si="39"/>
        <v/>
      </c>
      <c r="Q44" s="137" t="str">
        <f>IF(Dashboard!$E$10="","",IF(ISERROR(D44),"",IF($D44&gt;Dashboard!$E$10,$D44-Dashboard!$E$10,IF($D44="","","Target 1 ACHIEVED!"))))</f>
        <v/>
      </c>
      <c r="R44" s="137" t="str">
        <f t="shared" si="40"/>
        <v/>
      </c>
      <c r="S44" s="137" t="str">
        <f>IF(ISERROR(D44),"",IF(Dashboard!$E$11="","",IF($D44&gt;Dashboard!$E$11,$D44-Dashboard!$E$11,IF($D44="","","Target 2 ACHIEVED!"))))</f>
        <v/>
      </c>
      <c r="T44" s="137" t="str">
        <f t="shared" si="41"/>
        <v/>
      </c>
      <c r="U44" s="137" t="str">
        <f>IF(Dashboard!$E$12="","",IF(ISERROR(D44),"",IF($D44&gt;Dashboard!$E$12,$D44-Dashboard!$E$12,IF($D44="","","Target 3 ACHIEVED!"))))</f>
        <v/>
      </c>
      <c r="V44" s="137" t="str">
        <f t="shared" si="42"/>
        <v/>
      </c>
      <c r="W44" s="137" t="str">
        <f>IF(Dashboard!$E$13="","",IF(ISERROR(D44),"",IF($D44&gt;Dashboard!$E$13,$D44-Dashboard!$E$13,IF($D44="","","Target 4 ACHIEVED!"))))</f>
        <v/>
      </c>
      <c r="X44" s="137" t="str">
        <f t="shared" si="43"/>
        <v/>
      </c>
      <c r="Y44" s="137" t="str">
        <f>IF(ISERROR(D44),"",IF(Dashboard!$E$14="","",IF($D44&gt;Dashboard!$E$14,$D44-Dashboard!$E$14,IF($D44="","","Target ACHIEVED!"))))</f>
        <v/>
      </c>
      <c r="Z44" s="137" t="str">
        <f t="shared" si="44"/>
        <v/>
      </c>
      <c r="AA44" s="153" t="str">
        <f t="shared" si="49"/>
        <v/>
      </c>
    </row>
    <row r="45" spans="1:27" x14ac:dyDescent="0.2">
      <c r="A45" s="139" t="str">
        <f t="shared" si="46"/>
        <v/>
      </c>
      <c r="B45" s="140"/>
      <c r="C45" s="140"/>
      <c r="D45" s="141" t="e">
        <f t="shared" si="47"/>
        <v>#N/A</v>
      </c>
      <c r="E45" s="141" t="str">
        <f t="shared" si="38"/>
        <v/>
      </c>
      <c r="F45" s="141" t="str">
        <f>IF(Dashboard!$E$9="","",Dashboard!$E$9)</f>
        <v/>
      </c>
      <c r="G45" s="141" t="str">
        <f>IF(Dashboard!$E$10="","",Dashboard!$E$10)</f>
        <v/>
      </c>
      <c r="H45" s="141" t="str">
        <f>IF(Dashboard!$E$11="","",Dashboard!$E$11)</f>
        <v/>
      </c>
      <c r="I45" s="141" t="str">
        <f>IF(Dashboard!$E$12="","",Dashboard!$E$12)</f>
        <v/>
      </c>
      <c r="J45" s="141" t="str">
        <f>IF(Dashboard!$E$13="","",Dashboard!$E$13)</f>
        <v/>
      </c>
      <c r="K45" s="141" t="str">
        <f>IF(Dashboard!$E$14="","",Dashboard!$E$14)</f>
        <v/>
      </c>
      <c r="L45" s="141" t="str">
        <f t="shared" si="48"/>
        <v/>
      </c>
      <c r="M45" s="141" t="str">
        <f t="shared" si="45"/>
        <v/>
      </c>
      <c r="N45" s="142" t="str">
        <f>IF(ISERROR(D45),"",(D45*703)/(Dashboard!$E$6*Dashboard!$E$6))</f>
        <v/>
      </c>
      <c r="O45" s="141" t="str">
        <f>IF(ISERROR(D45),"",IF(D45&lt;=Dashboard!$P$5,"Club10 Achieved!",(Dashboard!$P$5-D45)*-1))</f>
        <v/>
      </c>
      <c r="P45" s="141" t="str">
        <f t="shared" si="39"/>
        <v/>
      </c>
      <c r="Q45" s="141" t="str">
        <f>IF(Dashboard!$E$10="","",IF(ISERROR(D45),"",IF($D45&gt;Dashboard!$E$10,$D45-Dashboard!$E$10,IF($D45="","","Target 1 ACHIEVED!"))))</f>
        <v/>
      </c>
      <c r="R45" s="141" t="str">
        <f t="shared" si="40"/>
        <v/>
      </c>
      <c r="S45" s="141" t="str">
        <f>IF(ISERROR(D45),"",IF(Dashboard!$E$11="","",IF($D45&gt;Dashboard!$E$11,$D45-Dashboard!$E$11,IF($D45="","","Target 2 ACHIEVED!"))))</f>
        <v/>
      </c>
      <c r="T45" s="141" t="str">
        <f t="shared" si="41"/>
        <v/>
      </c>
      <c r="U45" s="141" t="str">
        <f>IF(Dashboard!$E$12="","",IF(ISERROR(D45),"",IF($D45&gt;Dashboard!$E$12,$D45-Dashboard!$E$12,IF($D45="","","Target 3 ACHIEVED!"))))</f>
        <v/>
      </c>
      <c r="V45" s="141" t="str">
        <f t="shared" si="42"/>
        <v/>
      </c>
      <c r="W45" s="141" t="str">
        <f>IF(Dashboard!$E$13="","",IF(ISERROR(D45),"",IF($D45&gt;Dashboard!$E$13,$D45-Dashboard!$E$13,IF($D45="","","Target 4 ACHIEVED!"))))</f>
        <v/>
      </c>
      <c r="X45" s="141" t="str">
        <f t="shared" si="43"/>
        <v/>
      </c>
      <c r="Y45" s="141" t="str">
        <f>IF(ISERROR(D45),"",IF(Dashboard!$E$14="","",IF($D45&gt;Dashboard!$E$14,$D45-Dashboard!$E$14,IF($D45="","","Target ACHIEVED!"))))</f>
        <v/>
      </c>
      <c r="Z45" s="141" t="str">
        <f t="shared" si="44"/>
        <v/>
      </c>
      <c r="AA45" s="154" t="str">
        <f t="shared" si="49"/>
        <v/>
      </c>
    </row>
    <row r="46" spans="1:27" x14ac:dyDescent="0.2">
      <c r="A46" s="135" t="str">
        <f t="shared" si="46"/>
        <v/>
      </c>
      <c r="B46" s="136"/>
      <c r="C46" s="136"/>
      <c r="D46" s="137" t="e">
        <f t="shared" si="47"/>
        <v>#N/A</v>
      </c>
      <c r="E46" s="137" t="str">
        <f t="shared" si="38"/>
        <v/>
      </c>
      <c r="F46" s="137" t="str">
        <f>IF(Dashboard!$E$9="","",Dashboard!$E$9)</f>
        <v/>
      </c>
      <c r="G46" s="137" t="str">
        <f>IF(Dashboard!$E$10="","",Dashboard!$E$10)</f>
        <v/>
      </c>
      <c r="H46" s="137" t="str">
        <f>IF(Dashboard!$E$11="","",Dashboard!$E$11)</f>
        <v/>
      </c>
      <c r="I46" s="137" t="str">
        <f>IF(Dashboard!$E$12="","",Dashboard!$E$12)</f>
        <v/>
      </c>
      <c r="J46" s="137" t="str">
        <f>IF(Dashboard!$E$13="","",Dashboard!$E$13)</f>
        <v/>
      </c>
      <c r="K46" s="137" t="str">
        <f>IF(Dashboard!$E$14="","",Dashboard!$E$14)</f>
        <v/>
      </c>
      <c r="L46" s="137" t="str">
        <f t="shared" si="48"/>
        <v/>
      </c>
      <c r="M46" s="137" t="str">
        <f t="shared" si="45"/>
        <v/>
      </c>
      <c r="N46" s="138" t="str">
        <f>IF(ISERROR(D46),"",(D46*703)/(Dashboard!$E$6*Dashboard!$E$6))</f>
        <v/>
      </c>
      <c r="O46" s="137" t="str">
        <f>IF(ISERROR(D46),"",IF(D46&lt;=Dashboard!$P$5,"Club10 Achieved!",(Dashboard!$P$5-D46)*-1))</f>
        <v/>
      </c>
      <c r="P46" s="137" t="str">
        <f t="shared" si="39"/>
        <v/>
      </c>
      <c r="Q46" s="137" t="str">
        <f>IF(Dashboard!$E$10="","",IF(ISERROR(D46),"",IF($D46&gt;Dashboard!$E$10,$D46-Dashboard!$E$10,IF($D46="","","Target 1 ACHIEVED!"))))</f>
        <v/>
      </c>
      <c r="R46" s="137" t="str">
        <f t="shared" si="40"/>
        <v/>
      </c>
      <c r="S46" s="137" t="str">
        <f>IF(ISERROR(D46),"",IF(Dashboard!$E$11="","",IF($D46&gt;Dashboard!$E$11,$D46-Dashboard!$E$11,IF($D46="","","Target 2 ACHIEVED!"))))</f>
        <v/>
      </c>
      <c r="T46" s="137" t="str">
        <f t="shared" si="41"/>
        <v/>
      </c>
      <c r="U46" s="137" t="str">
        <f>IF(Dashboard!$E$12="","",IF(ISERROR(D46),"",IF($D46&gt;Dashboard!$E$12,$D46-Dashboard!$E$12,IF($D46="","","Target 3 ACHIEVED!"))))</f>
        <v/>
      </c>
      <c r="V46" s="137" t="str">
        <f t="shared" si="42"/>
        <v/>
      </c>
      <c r="W46" s="137" t="str">
        <f>IF(Dashboard!$E$13="","",IF(ISERROR(D46),"",IF($D46&gt;Dashboard!$E$13,$D46-Dashboard!$E$13,IF($D46="","","Target 4 ACHIEVED!"))))</f>
        <v/>
      </c>
      <c r="X46" s="137" t="str">
        <f t="shared" si="43"/>
        <v/>
      </c>
      <c r="Y46" s="137" t="str">
        <f>IF(ISERROR(D46),"",IF(Dashboard!$E$14="","",IF($D46&gt;Dashboard!$E$14,$D46-Dashboard!$E$14,IF($D46="","","Target ACHIEVED!"))))</f>
        <v/>
      </c>
      <c r="Z46" s="137" t="str">
        <f t="shared" si="44"/>
        <v/>
      </c>
      <c r="AA46" s="153" t="str">
        <f t="shared" si="49"/>
        <v/>
      </c>
    </row>
    <row r="47" spans="1:27" x14ac:dyDescent="0.2">
      <c r="A47" s="139" t="str">
        <f t="shared" si="46"/>
        <v/>
      </c>
      <c r="B47" s="140"/>
      <c r="C47" s="140"/>
      <c r="D47" s="141" t="e">
        <f t="shared" si="47"/>
        <v>#N/A</v>
      </c>
      <c r="E47" s="141" t="str">
        <f t="shared" si="38"/>
        <v/>
      </c>
      <c r="F47" s="141" t="str">
        <f>IF(Dashboard!$E$9="","",Dashboard!$E$9)</f>
        <v/>
      </c>
      <c r="G47" s="141" t="str">
        <f>IF(Dashboard!$E$10="","",Dashboard!$E$10)</f>
        <v/>
      </c>
      <c r="H47" s="141" t="str">
        <f>IF(Dashboard!$E$11="","",Dashboard!$E$11)</f>
        <v/>
      </c>
      <c r="I47" s="141" t="str">
        <f>IF(Dashboard!$E$12="","",Dashboard!$E$12)</f>
        <v/>
      </c>
      <c r="J47" s="141" t="str">
        <f>IF(Dashboard!$E$13="","",Dashboard!$E$13)</f>
        <v/>
      </c>
      <c r="K47" s="141" t="str">
        <f>IF(Dashboard!$E$14="","",Dashboard!$E$14)</f>
        <v/>
      </c>
      <c r="L47" s="141" t="str">
        <f t="shared" si="48"/>
        <v/>
      </c>
      <c r="M47" s="141" t="str">
        <f t="shared" si="45"/>
        <v/>
      </c>
      <c r="N47" s="142" t="str">
        <f>IF(ISERROR(D47),"",(D47*703)/(Dashboard!$E$6*Dashboard!$E$6))</f>
        <v/>
      </c>
      <c r="O47" s="141" t="str">
        <f>IF(ISERROR(D47),"",IF(D47&lt;=Dashboard!$P$5,"Club10 Achieved!",(Dashboard!$P$5-D47)*-1))</f>
        <v/>
      </c>
      <c r="P47" s="141" t="str">
        <f t="shared" si="39"/>
        <v/>
      </c>
      <c r="Q47" s="141" t="str">
        <f>IF(Dashboard!$E$10="","",IF(ISERROR(D47),"",IF($D47&gt;Dashboard!$E$10,$D47-Dashboard!$E$10,IF($D47="","","Target 1 ACHIEVED!"))))</f>
        <v/>
      </c>
      <c r="R47" s="141" t="str">
        <f t="shared" si="40"/>
        <v/>
      </c>
      <c r="S47" s="141" t="str">
        <f>IF(ISERROR(D47),"",IF(Dashboard!$E$11="","",IF($D47&gt;Dashboard!$E$11,$D47-Dashboard!$E$11,IF($D47="","","Target 2 ACHIEVED!"))))</f>
        <v/>
      </c>
      <c r="T47" s="141" t="str">
        <f t="shared" si="41"/>
        <v/>
      </c>
      <c r="U47" s="141" t="str">
        <f>IF(Dashboard!$E$12="","",IF(ISERROR(D47),"",IF($D47&gt;Dashboard!$E$12,$D47-Dashboard!$E$12,IF($D47="","","Target 3 ACHIEVED!"))))</f>
        <v/>
      </c>
      <c r="V47" s="141" t="str">
        <f t="shared" si="42"/>
        <v/>
      </c>
      <c r="W47" s="141" t="str">
        <f>IF(Dashboard!$E$13="","",IF(ISERROR(D47),"",IF($D47&gt;Dashboard!$E$13,$D47-Dashboard!$E$13,IF($D47="","","Target 4 ACHIEVED!"))))</f>
        <v/>
      </c>
      <c r="X47" s="141" t="str">
        <f t="shared" si="43"/>
        <v/>
      </c>
      <c r="Y47" s="141" t="str">
        <f>IF(ISERROR(D47),"",IF(Dashboard!$E$14="","",IF($D47&gt;Dashboard!$E$14,$D47-Dashboard!$E$14,IF($D47="","","Target ACHIEVED!"))))</f>
        <v/>
      </c>
      <c r="Z47" s="141" t="str">
        <f t="shared" si="44"/>
        <v/>
      </c>
      <c r="AA47" s="154" t="str">
        <f t="shared" si="49"/>
        <v/>
      </c>
    </row>
    <row r="48" spans="1:27" x14ac:dyDescent="0.2">
      <c r="A48" s="135" t="str">
        <f t="shared" si="46"/>
        <v/>
      </c>
      <c r="B48" s="136"/>
      <c r="C48" s="136"/>
      <c r="D48" s="137" t="e">
        <f t="shared" si="47"/>
        <v>#N/A</v>
      </c>
      <c r="E48" s="137" t="str">
        <f t="shared" si="38"/>
        <v/>
      </c>
      <c r="F48" s="137" t="str">
        <f>IF(Dashboard!$E$9="","",Dashboard!$E$9)</f>
        <v/>
      </c>
      <c r="G48" s="137" t="str">
        <f>IF(Dashboard!$E$10="","",Dashboard!$E$10)</f>
        <v/>
      </c>
      <c r="H48" s="137" t="str">
        <f>IF(Dashboard!$E$11="","",Dashboard!$E$11)</f>
        <v/>
      </c>
      <c r="I48" s="137" t="str">
        <f>IF(Dashboard!$E$12="","",Dashboard!$E$12)</f>
        <v/>
      </c>
      <c r="J48" s="137" t="str">
        <f>IF(Dashboard!$E$13="","",Dashboard!$E$13)</f>
        <v/>
      </c>
      <c r="K48" s="137" t="str">
        <f>IF(Dashboard!$E$14="","",Dashboard!$E$14)</f>
        <v/>
      </c>
      <c r="L48" s="137" t="str">
        <f t="shared" si="48"/>
        <v/>
      </c>
      <c r="M48" s="137" t="str">
        <f t="shared" si="45"/>
        <v/>
      </c>
      <c r="N48" s="138" t="str">
        <f>IF(ISERROR(D48),"",(D48*703)/(Dashboard!$E$6*Dashboard!$E$6))</f>
        <v/>
      </c>
      <c r="O48" s="137" t="str">
        <f>IF(ISERROR(D48),"",IF(D48&lt;=Dashboard!$P$5,"Club10 Achieved!",(Dashboard!$P$5-D48)*-1))</f>
        <v/>
      </c>
      <c r="P48" s="137" t="str">
        <f t="shared" si="39"/>
        <v/>
      </c>
      <c r="Q48" s="137" t="str">
        <f>IF(Dashboard!$E$10="","",IF(ISERROR(D48),"",IF($D48&gt;Dashboard!$E$10,$D48-Dashboard!$E$10,IF($D48="","","Target 1 ACHIEVED!"))))</f>
        <v/>
      </c>
      <c r="R48" s="137" t="str">
        <f t="shared" si="40"/>
        <v/>
      </c>
      <c r="S48" s="137" t="str">
        <f>IF(ISERROR(D48),"",IF(Dashboard!$E$11="","",IF($D48&gt;Dashboard!$E$11,$D48-Dashboard!$E$11,IF($D48="","","Target 2 ACHIEVED!"))))</f>
        <v/>
      </c>
      <c r="T48" s="137" t="str">
        <f t="shared" si="41"/>
        <v/>
      </c>
      <c r="U48" s="137" t="str">
        <f>IF(Dashboard!$E$12="","",IF(ISERROR(D48),"",IF($D48&gt;Dashboard!$E$12,$D48-Dashboard!$E$12,IF($D48="","","Target 3 ACHIEVED!"))))</f>
        <v/>
      </c>
      <c r="V48" s="137" t="str">
        <f t="shared" si="42"/>
        <v/>
      </c>
      <c r="W48" s="137" t="str">
        <f>IF(Dashboard!$E$13="","",IF(ISERROR(D48),"",IF($D48&gt;Dashboard!$E$13,$D48-Dashboard!$E$13,IF($D48="","","Target 4 ACHIEVED!"))))</f>
        <v/>
      </c>
      <c r="X48" s="137" t="str">
        <f t="shared" si="43"/>
        <v/>
      </c>
      <c r="Y48" s="137" t="str">
        <f>IF(ISERROR(D48),"",IF(Dashboard!$E$14="","",IF($D48&gt;Dashboard!$E$14,$D48-Dashboard!$E$14,IF($D48="","","Target ACHIEVED!"))))</f>
        <v/>
      </c>
      <c r="Z48" s="137" t="str">
        <f t="shared" si="44"/>
        <v/>
      </c>
      <c r="AA48" s="153" t="str">
        <f t="shared" si="49"/>
        <v/>
      </c>
    </row>
    <row r="49" spans="1:27" x14ac:dyDescent="0.2">
      <c r="A49" s="139" t="str">
        <f t="shared" si="46"/>
        <v/>
      </c>
      <c r="B49" s="140"/>
      <c r="C49" s="140"/>
      <c r="D49" s="141" t="e">
        <f t="shared" si="47"/>
        <v>#N/A</v>
      </c>
      <c r="E49" s="141" t="str">
        <f t="shared" si="38"/>
        <v/>
      </c>
      <c r="F49" s="141" t="str">
        <f>IF(Dashboard!$E$9="","",Dashboard!$E$9)</f>
        <v/>
      </c>
      <c r="G49" s="141" t="str">
        <f>IF(Dashboard!$E$10="","",Dashboard!$E$10)</f>
        <v/>
      </c>
      <c r="H49" s="141" t="str">
        <f>IF(Dashboard!$E$11="","",Dashboard!$E$11)</f>
        <v/>
      </c>
      <c r="I49" s="141" t="str">
        <f>IF(Dashboard!$E$12="","",Dashboard!$E$12)</f>
        <v/>
      </c>
      <c r="J49" s="141" t="str">
        <f>IF(Dashboard!$E$13="","",Dashboard!$E$13)</f>
        <v/>
      </c>
      <c r="K49" s="141" t="str">
        <f>IF(Dashboard!$E$14="","",Dashboard!$E$14)</f>
        <v/>
      </c>
      <c r="L49" s="141" t="str">
        <f t="shared" si="48"/>
        <v/>
      </c>
      <c r="M49" s="141" t="str">
        <f t="shared" si="45"/>
        <v/>
      </c>
      <c r="N49" s="142" t="str">
        <f>IF(ISERROR(D49),"",(D49*703)/(Dashboard!$E$6*Dashboard!$E$6))</f>
        <v/>
      </c>
      <c r="O49" s="141" t="str">
        <f>IF(ISERROR(D49),"",IF(D49&lt;=Dashboard!$P$5,"Club10 Achieved!",(Dashboard!$P$5-D49)*-1))</f>
        <v/>
      </c>
      <c r="P49" s="141" t="str">
        <f t="shared" si="39"/>
        <v/>
      </c>
      <c r="Q49" s="141" t="str">
        <f>IF(Dashboard!$E$10="","",IF(ISERROR(D49),"",IF($D49&gt;Dashboard!$E$10,$D49-Dashboard!$E$10,IF($D49="","","Target 1 ACHIEVED!"))))</f>
        <v/>
      </c>
      <c r="R49" s="141" t="str">
        <f t="shared" si="40"/>
        <v/>
      </c>
      <c r="S49" s="141" t="str">
        <f>IF(ISERROR(D49),"",IF(Dashboard!$E$11="","",IF($D49&gt;Dashboard!$E$11,$D49-Dashboard!$E$11,IF($D49="","","Target 2 ACHIEVED!"))))</f>
        <v/>
      </c>
      <c r="T49" s="141" t="str">
        <f t="shared" si="41"/>
        <v/>
      </c>
      <c r="U49" s="141" t="str">
        <f>IF(Dashboard!$E$12="","",IF(ISERROR(D49),"",IF($D49&gt;Dashboard!$E$12,$D49-Dashboard!$E$12,IF($D49="","","Target 3 ACHIEVED!"))))</f>
        <v/>
      </c>
      <c r="V49" s="141" t="str">
        <f t="shared" si="42"/>
        <v/>
      </c>
      <c r="W49" s="141" t="str">
        <f>IF(Dashboard!$E$13="","",IF(ISERROR(D49),"",IF($D49&gt;Dashboard!$E$13,$D49-Dashboard!$E$13,IF($D49="","","Target 4 ACHIEVED!"))))</f>
        <v/>
      </c>
      <c r="X49" s="141" t="str">
        <f t="shared" si="43"/>
        <v/>
      </c>
      <c r="Y49" s="141" t="str">
        <f>IF(ISERROR(D49),"",IF(Dashboard!$E$14="","",IF($D49&gt;Dashboard!$E$14,$D49-Dashboard!$E$14,IF($D49="","","Target ACHIEVED!"))))</f>
        <v/>
      </c>
      <c r="Z49" s="141" t="str">
        <f t="shared" si="44"/>
        <v/>
      </c>
      <c r="AA49" s="154" t="str">
        <f t="shared" si="49"/>
        <v/>
      </c>
    </row>
    <row r="50" spans="1:27" x14ac:dyDescent="0.2">
      <c r="A50" s="144" t="str">
        <f t="shared" si="46"/>
        <v/>
      </c>
      <c r="B50" s="145"/>
      <c r="C50" s="145"/>
      <c r="D50" s="146" t="e">
        <f t="shared" si="47"/>
        <v>#N/A</v>
      </c>
      <c r="E50" s="146" t="str">
        <f t="shared" si="38"/>
        <v/>
      </c>
      <c r="F50" s="146" t="str">
        <f>IF(Dashboard!$E$9="","",Dashboard!$E$9)</f>
        <v/>
      </c>
      <c r="G50" s="146" t="str">
        <f>IF(Dashboard!$E$10="","",Dashboard!$E$10)</f>
        <v/>
      </c>
      <c r="H50" s="146" t="str">
        <f>IF(Dashboard!$E$11="","",Dashboard!$E$11)</f>
        <v/>
      </c>
      <c r="I50" s="146" t="str">
        <f>IF(Dashboard!$E$12="","",Dashboard!$E$12)</f>
        <v/>
      </c>
      <c r="J50" s="146" t="str">
        <f>IF(Dashboard!$E$13="","",Dashboard!$E$13)</f>
        <v/>
      </c>
      <c r="K50" s="146" t="str">
        <f>IF(Dashboard!$E$14="","",Dashboard!$E$14)</f>
        <v/>
      </c>
      <c r="L50" s="146" t="str">
        <f t="shared" si="48"/>
        <v/>
      </c>
      <c r="M50" s="146" t="str">
        <f t="shared" si="45"/>
        <v/>
      </c>
      <c r="N50" s="147" t="str">
        <f>IF(ISERROR(D50),"",(D50*703)/(Dashboard!$E$6*Dashboard!$E$6))</f>
        <v/>
      </c>
      <c r="O50" s="146" t="str">
        <f>IF(ISERROR(D50),"",IF(D50&lt;=Dashboard!$P$5,"Club10 Achieved!",(Dashboard!$P$5-D50)*-1))</f>
        <v/>
      </c>
      <c r="P50" s="146" t="str">
        <f t="shared" si="39"/>
        <v/>
      </c>
      <c r="Q50" s="146" t="str">
        <f>IF(Dashboard!$E$10="","",IF(ISERROR(D50),"",IF($D50&gt;Dashboard!$E$10,$D50-Dashboard!$E$10,IF($D50="","","Target 1 ACHIEVED!"))))</f>
        <v/>
      </c>
      <c r="R50" s="146" t="str">
        <f t="shared" si="40"/>
        <v/>
      </c>
      <c r="S50" s="146" t="str">
        <f>IF(ISERROR(D50),"",IF(Dashboard!$E$11="","",IF($D50&gt;Dashboard!$E$11,$D50-Dashboard!$E$11,IF($D50="","","Target 2 ACHIEVED!"))))</f>
        <v/>
      </c>
      <c r="T50" s="146" t="str">
        <f t="shared" si="41"/>
        <v/>
      </c>
      <c r="U50" s="146" t="str">
        <f>IF(Dashboard!$E$12="","",IF(ISERROR(D50),"",IF($D50&gt;Dashboard!$E$12,$D50-Dashboard!$E$12,IF($D50="","","Target 3 ACHIEVED!"))))</f>
        <v/>
      </c>
      <c r="V50" s="146" t="str">
        <f t="shared" si="42"/>
        <v/>
      </c>
      <c r="W50" s="146" t="str">
        <f>IF(Dashboard!$E$13="","",IF(ISERROR(D50),"",IF($D50&gt;Dashboard!$E$13,$D50-Dashboard!$E$13,IF($D50="","","Target 4 ACHIEVED!"))))</f>
        <v/>
      </c>
      <c r="X50" s="146" t="str">
        <f t="shared" si="43"/>
        <v/>
      </c>
      <c r="Y50" s="146" t="str">
        <f>IF(ISERROR(D50),"",IF(Dashboard!$E$14="","",IF($D50&gt;Dashboard!$E$14,$D50-Dashboard!$E$14,IF($D50="","","Target ACHIEVED!"))))</f>
        <v/>
      </c>
      <c r="Z50" s="146" t="str">
        <f t="shared" si="44"/>
        <v/>
      </c>
      <c r="AA50" s="155" t="str">
        <f t="shared" si="49"/>
        <v/>
      </c>
    </row>
    <row r="51" spans="1:27" x14ac:dyDescent="0.2">
      <c r="A51" s="139" t="str">
        <f t="shared" ref="A51:A60" si="50">IF(ISERROR(D51),"",A50+7)</f>
        <v/>
      </c>
      <c r="B51" s="140"/>
      <c r="C51" s="140"/>
      <c r="D51" s="141" t="e">
        <f t="shared" ref="D51:D60" si="51">IF(B51="",NA(),(B51*14)+C51)</f>
        <v>#N/A</v>
      </c>
      <c r="E51" s="141" t="str">
        <f t="shared" ref="E51:E60" si="52">IF(ISERROR(D51),"",D51)</f>
        <v/>
      </c>
      <c r="F51" s="141" t="str">
        <f>IF(Dashboard!$E$9="","",Dashboard!$E$9)</f>
        <v/>
      </c>
      <c r="G51" s="141" t="str">
        <f>IF(Dashboard!$E$10="","",Dashboard!$E$10)</f>
        <v/>
      </c>
      <c r="H51" s="141" t="str">
        <f>IF(Dashboard!$E$11="","",Dashboard!$E$11)</f>
        <v/>
      </c>
      <c r="I51" s="141" t="str">
        <f>IF(Dashboard!$E$12="","",Dashboard!$E$12)</f>
        <v/>
      </c>
      <c r="J51" s="141" t="str">
        <f>IF(Dashboard!$E$13="","",Dashboard!$E$13)</f>
        <v/>
      </c>
      <c r="K51" s="141" t="str">
        <f>IF(Dashboard!$E$14="","",Dashboard!$E$14)</f>
        <v/>
      </c>
      <c r="L51" s="141" t="str">
        <f t="shared" ref="L51:L60" si="53">IF(ISERROR(D51),"",D51-D50)</f>
        <v/>
      </c>
      <c r="M51" s="141" t="str">
        <f t="shared" ref="M51:M60" si="54">IF(B51="","",$D$2-D51)</f>
        <v/>
      </c>
      <c r="N51" s="142" t="str">
        <f>IF(ISERROR(D51),"",(D51*703)/(Dashboard!$E$6*Dashboard!$E$6))</f>
        <v/>
      </c>
      <c r="O51" s="141" t="str">
        <f>IF(ISERROR(D51),"",IF(D51&lt;=Dashboard!$P$5,"Club10 Achieved!",(Dashboard!$P$5-D51)*-1))</f>
        <v/>
      </c>
      <c r="P51" s="141" t="str">
        <f t="shared" ref="P51:P60" si="55">IF(O51="","",IF(O51="Club10 Achieved!","Club10 Achieved!",CONCATENATE(ROUNDDOWN(O51/14,0)," st ",MOD(O51,14)," lbs")))</f>
        <v/>
      </c>
      <c r="Q51" s="141" t="str">
        <f>IF(Dashboard!$E$10="","",IF(ISERROR(D51),"",IF($D51&gt;Dashboard!$E$10,$D51-Dashboard!$E$10,IF($D51="","","Target 1 ACHIEVED!"))))</f>
        <v/>
      </c>
      <c r="R51" s="141" t="str">
        <f t="shared" ref="R51:R60" si="56">IF(Q51="","",IF(Q51="Target 1 ACHIEVED!","Target 1 ACHIEVED!",CONCATENATE(ROUNDDOWN(Q51/14,0)," st ",MOD(Q51,14)," lbs")))</f>
        <v/>
      </c>
      <c r="S51" s="141" t="str">
        <f>IF(ISERROR(D51),"",IF(Dashboard!$E$11="","",IF($D51&gt;Dashboard!$E$11,$D51-Dashboard!$E$11,IF($D51="","","Target 2 ACHIEVED!"))))</f>
        <v/>
      </c>
      <c r="T51" s="141" t="str">
        <f t="shared" ref="T51:T60" si="57">IF(S51="","",IF(S51="Target 2 ACHIEVED!","Target 2 ACHIEVED!",CONCATENATE(ROUNDDOWN(S51/14,0)," st ",MOD(S51,14)," lbs")))</f>
        <v/>
      </c>
      <c r="U51" s="141" t="str">
        <f>IF(Dashboard!$E$12="","",IF(ISERROR(D51),"",IF($D51&gt;Dashboard!$E$12,$D51-Dashboard!$E$12,IF($D51="","","Target 3 ACHIEVED!"))))</f>
        <v/>
      </c>
      <c r="V51" s="141" t="str">
        <f t="shared" ref="V51:V60" si="58">IF(U51="","",IF(U51="Target 3 ACHIEVED!","Target 3 ACHIEVED!",CONCATENATE(ROUNDDOWN(U51/14,0)," st ",MOD(U51,14)," lbs")))</f>
        <v/>
      </c>
      <c r="W51" s="141" t="str">
        <f>IF(Dashboard!$E$13="","",IF(ISERROR(D51),"",IF($D51&gt;Dashboard!$E$13,$D51-Dashboard!$E$13,IF($D51="","","Target 4 ACHIEVED!"))))</f>
        <v/>
      </c>
      <c r="X51" s="141" t="str">
        <f t="shared" ref="X51:X60" si="59">IF(W51="","",IF(W51="Target 4 ACHIEVED!","Target 4 ACHIEVED!",CONCATENATE(ROUNDDOWN(W51/14,0)," st ",MOD(W51,14)," lbs")))</f>
        <v/>
      </c>
      <c r="Y51" s="141" t="str">
        <f>IF(ISERROR(D51),"",IF(Dashboard!$E$14="","",IF($D51&gt;Dashboard!$E$14,$D51-Dashboard!$E$14,IF($D51="","","Target ACHIEVED!"))))</f>
        <v/>
      </c>
      <c r="Z51" s="141" t="str">
        <f t="shared" ref="Z51:Z60" si="60">IF(Y51="","",IF(Y51="Target ACHIEVED!","Target ACHIEVED!",CONCATENATE(ROUNDDOWN(Y51/14,0)," st ",MOD(Y51,14)," lbs")))</f>
        <v/>
      </c>
      <c r="AA51" s="154" t="str">
        <f t="shared" ref="AA51:AA60" si="61">IF((AND(M51&lt;=202.5,M51&gt;=196)),"14 STONE",
 IF((AND(M51&lt;=195.5,M51&gt;=189)),"13.5 STONE",
 IF((AND(M51&lt;=188.5,M51&gt;=182)),"13 STONE",
 IF((AND(M51&lt;=181.5,M51&gt;=175)),"12.5 STONE",
 IF((AND(M51&lt;=174.5,M51&gt;=168)),"12 STONE",
 IF((AND(M51&lt;=167.5,M51&gt;=161)),"11.5 STONE",
 IF((AND(M51&lt;=160.5,M51&gt;=154)),"11 STONE",
 IF((AND(M51&lt;=153.5,M51&gt;=147)),"10.5 STONE",
 IF((AND(M51&lt;=146.5,M51&gt;=140)),"10 STONE",
 IF((AND(M51&lt;=139.5,M51&gt;=133)),"9.5 STONE",
 IF((AND(M51&lt;=132.5,M51&gt;=126)),"9 STONE",
 IF((AND(M51&lt;=125.5,M51&gt;=119)),"8.5 STONE",
 IF((AND(M51&lt;=118.5,M51&gt;=112)),"8 STONE",
 IF((AND(M51&lt;=111.5,M51&gt;=105)),"7.5 STONE",
 IF((AND(M51&lt;=104.5,M51&gt;=98)),"7 STONE",
 IF((AND(M51&lt;=97.5,M51&gt;=91)),"6.5 STONE",
 IF((AND(M51&lt;=90.5,M51&gt;=84)),"6 STONE",
 IF((AND(M51&lt;=83.5,M51&gt;=77)),"5.5 STONE",
 IF((AND(M51&lt;=76.5,M51&gt;=70)),"5 STONE",
 IF((AND(M51&lt;=69.5,M51&gt;=63)),"4.5 STONE",
 IF((AND(M51&lt;=62.5,M51&gt;=56)),"4 STONE",
 IF((AND(M51&lt;=55.5,M51&gt;=49)),"3.5 STONE",
 IF((AND(M51&lt;=48.5,M51&gt;=42)),"3 STONE",
 IF((AND(M51&lt;=41.5,M51&gt;=35)),"2.5 STONE",
 IF((AND(M51&lt;=34.5,M51&gt;=28)),"2 STONE",
 IF((AND(M51&lt;=27.5,M51&gt;=21)),"1.5 STONE",
 IF((AND(M51&lt;=20.5,M51&gt;=14)),"1 STONE",
 IF((AND(M51&lt;=13.5,M51&gt;=7)),"0.5 STONE",
 IF((AND(M51&lt;=6.5,M51&gt;=0)),"",
 "")))))))))))))))))))))))))))))</f>
        <v/>
      </c>
    </row>
    <row r="52" spans="1:27" x14ac:dyDescent="0.2">
      <c r="A52" s="135" t="str">
        <f t="shared" si="50"/>
        <v/>
      </c>
      <c r="B52" s="136"/>
      <c r="C52" s="136"/>
      <c r="D52" s="137" t="e">
        <f t="shared" si="51"/>
        <v>#N/A</v>
      </c>
      <c r="E52" s="137" t="str">
        <f t="shared" si="52"/>
        <v/>
      </c>
      <c r="F52" s="137" t="str">
        <f>IF(Dashboard!$E$9="","",Dashboard!$E$9)</f>
        <v/>
      </c>
      <c r="G52" s="137" t="str">
        <f>IF(Dashboard!$E$10="","",Dashboard!$E$10)</f>
        <v/>
      </c>
      <c r="H52" s="137" t="str">
        <f>IF(Dashboard!$E$11="","",Dashboard!$E$11)</f>
        <v/>
      </c>
      <c r="I52" s="137" t="str">
        <f>IF(Dashboard!$E$12="","",Dashboard!$E$12)</f>
        <v/>
      </c>
      <c r="J52" s="137" t="str">
        <f>IF(Dashboard!$E$13="","",Dashboard!$E$13)</f>
        <v/>
      </c>
      <c r="K52" s="137" t="str">
        <f>IF(Dashboard!$E$14="","",Dashboard!$E$14)</f>
        <v/>
      </c>
      <c r="L52" s="137" t="str">
        <f t="shared" si="53"/>
        <v/>
      </c>
      <c r="M52" s="137" t="str">
        <f t="shared" si="54"/>
        <v/>
      </c>
      <c r="N52" s="138" t="str">
        <f>IF(ISERROR(D52),"",(D52*703)/(Dashboard!$E$6*Dashboard!$E$6))</f>
        <v/>
      </c>
      <c r="O52" s="137" t="str">
        <f>IF(ISERROR(D52),"",IF(D52&lt;=Dashboard!$P$5,"Club10 Achieved!",(Dashboard!$P$5-D52)*-1))</f>
        <v/>
      </c>
      <c r="P52" s="137" t="str">
        <f t="shared" si="55"/>
        <v/>
      </c>
      <c r="Q52" s="137" t="str">
        <f>IF(Dashboard!$E$10="","",IF(ISERROR(D52),"",IF($D52&gt;Dashboard!$E$10,$D52-Dashboard!$E$10,IF($D52="","","Target 1 ACHIEVED!"))))</f>
        <v/>
      </c>
      <c r="R52" s="137" t="str">
        <f t="shared" si="56"/>
        <v/>
      </c>
      <c r="S52" s="137" t="str">
        <f>IF(ISERROR(D52),"",IF(Dashboard!$E$11="","",IF($D52&gt;Dashboard!$E$11,$D52-Dashboard!$E$11,IF($D52="","","Target 2 ACHIEVED!"))))</f>
        <v/>
      </c>
      <c r="T52" s="137" t="str">
        <f t="shared" si="57"/>
        <v/>
      </c>
      <c r="U52" s="137" t="str">
        <f>IF(Dashboard!$E$12="","",IF(ISERROR(D52),"",IF($D52&gt;Dashboard!$E$12,$D52-Dashboard!$E$12,IF($D52="","","Target 3 ACHIEVED!"))))</f>
        <v/>
      </c>
      <c r="V52" s="137" t="str">
        <f t="shared" si="58"/>
        <v/>
      </c>
      <c r="W52" s="137" t="str">
        <f>IF(Dashboard!$E$13="","",IF(ISERROR(D52),"",IF($D52&gt;Dashboard!$E$13,$D52-Dashboard!$E$13,IF($D52="","","Target 4 ACHIEVED!"))))</f>
        <v/>
      </c>
      <c r="X52" s="137" t="str">
        <f t="shared" si="59"/>
        <v/>
      </c>
      <c r="Y52" s="137" t="str">
        <f>IF(ISERROR(D52),"",IF(Dashboard!$E$14="","",IF($D52&gt;Dashboard!$E$14,$D52-Dashboard!$E$14,IF($D52="","","Target ACHIEVED!"))))</f>
        <v/>
      </c>
      <c r="Z52" s="137" t="str">
        <f t="shared" si="60"/>
        <v/>
      </c>
      <c r="AA52" s="153" t="str">
        <f t="shared" si="61"/>
        <v/>
      </c>
    </row>
    <row r="53" spans="1:27" x14ac:dyDescent="0.2">
      <c r="A53" s="139" t="str">
        <f t="shared" si="50"/>
        <v/>
      </c>
      <c r="B53" s="140"/>
      <c r="C53" s="140"/>
      <c r="D53" s="141" t="e">
        <f t="shared" si="51"/>
        <v>#N/A</v>
      </c>
      <c r="E53" s="141" t="str">
        <f t="shared" si="52"/>
        <v/>
      </c>
      <c r="F53" s="141" t="str">
        <f>IF(Dashboard!$E$9="","",Dashboard!$E$9)</f>
        <v/>
      </c>
      <c r="G53" s="141" t="str">
        <f>IF(Dashboard!$E$10="","",Dashboard!$E$10)</f>
        <v/>
      </c>
      <c r="H53" s="141" t="str">
        <f>IF(Dashboard!$E$11="","",Dashboard!$E$11)</f>
        <v/>
      </c>
      <c r="I53" s="141" t="str">
        <f>IF(Dashboard!$E$12="","",Dashboard!$E$12)</f>
        <v/>
      </c>
      <c r="J53" s="141" t="str">
        <f>IF(Dashboard!$E$13="","",Dashboard!$E$13)</f>
        <v/>
      </c>
      <c r="K53" s="141" t="str">
        <f>IF(Dashboard!$E$14="","",Dashboard!$E$14)</f>
        <v/>
      </c>
      <c r="L53" s="141" t="str">
        <f t="shared" si="53"/>
        <v/>
      </c>
      <c r="M53" s="141" t="str">
        <f t="shared" si="54"/>
        <v/>
      </c>
      <c r="N53" s="142" t="str">
        <f>IF(ISERROR(D53),"",(D53*703)/(Dashboard!$E$6*Dashboard!$E$6))</f>
        <v/>
      </c>
      <c r="O53" s="141" t="str">
        <f>IF(ISERROR(D53),"",IF(D53&lt;=Dashboard!$P$5,"Club10 Achieved!",(Dashboard!$P$5-D53)*-1))</f>
        <v/>
      </c>
      <c r="P53" s="141" t="str">
        <f t="shared" si="55"/>
        <v/>
      </c>
      <c r="Q53" s="141" t="str">
        <f>IF(Dashboard!$E$10="","",IF(ISERROR(D53),"",IF($D53&gt;Dashboard!$E$10,$D53-Dashboard!$E$10,IF($D53="","","Target 1 ACHIEVED!"))))</f>
        <v/>
      </c>
      <c r="R53" s="141" t="str">
        <f t="shared" si="56"/>
        <v/>
      </c>
      <c r="S53" s="141" t="str">
        <f>IF(ISERROR(D53),"",IF(Dashboard!$E$11="","",IF($D53&gt;Dashboard!$E$11,$D53-Dashboard!$E$11,IF($D53="","","Target 2 ACHIEVED!"))))</f>
        <v/>
      </c>
      <c r="T53" s="141" t="str">
        <f t="shared" si="57"/>
        <v/>
      </c>
      <c r="U53" s="141" t="str">
        <f>IF(Dashboard!$E$12="","",IF(ISERROR(D53),"",IF($D53&gt;Dashboard!$E$12,$D53-Dashboard!$E$12,IF($D53="","","Target 3 ACHIEVED!"))))</f>
        <v/>
      </c>
      <c r="V53" s="141" t="str">
        <f t="shared" si="58"/>
        <v/>
      </c>
      <c r="W53" s="141" t="str">
        <f>IF(Dashboard!$E$13="","",IF(ISERROR(D53),"",IF($D53&gt;Dashboard!$E$13,$D53-Dashboard!$E$13,IF($D53="","","Target 4 ACHIEVED!"))))</f>
        <v/>
      </c>
      <c r="X53" s="141" t="str">
        <f t="shared" si="59"/>
        <v/>
      </c>
      <c r="Y53" s="141" t="str">
        <f>IF(ISERROR(D53),"",IF(Dashboard!$E$14="","",IF($D53&gt;Dashboard!$E$14,$D53-Dashboard!$E$14,IF($D53="","","Target ACHIEVED!"))))</f>
        <v/>
      </c>
      <c r="Z53" s="141" t="str">
        <f t="shared" si="60"/>
        <v/>
      </c>
      <c r="AA53" s="154" t="str">
        <f t="shared" si="61"/>
        <v/>
      </c>
    </row>
    <row r="54" spans="1:27" x14ac:dyDescent="0.2">
      <c r="A54" s="135" t="str">
        <f t="shared" si="50"/>
        <v/>
      </c>
      <c r="B54" s="136"/>
      <c r="C54" s="136"/>
      <c r="D54" s="137" t="e">
        <f t="shared" si="51"/>
        <v>#N/A</v>
      </c>
      <c r="E54" s="137" t="str">
        <f t="shared" si="52"/>
        <v/>
      </c>
      <c r="F54" s="137" t="str">
        <f>IF(Dashboard!$E$9="","",Dashboard!$E$9)</f>
        <v/>
      </c>
      <c r="G54" s="137" t="str">
        <f>IF(Dashboard!$E$10="","",Dashboard!$E$10)</f>
        <v/>
      </c>
      <c r="H54" s="137" t="str">
        <f>IF(Dashboard!$E$11="","",Dashboard!$E$11)</f>
        <v/>
      </c>
      <c r="I54" s="137" t="str">
        <f>IF(Dashboard!$E$12="","",Dashboard!$E$12)</f>
        <v/>
      </c>
      <c r="J54" s="137" t="str">
        <f>IF(Dashboard!$E$13="","",Dashboard!$E$13)</f>
        <v/>
      </c>
      <c r="K54" s="137" t="str">
        <f>IF(Dashboard!$E$14="","",Dashboard!$E$14)</f>
        <v/>
      </c>
      <c r="L54" s="137" t="str">
        <f t="shared" si="53"/>
        <v/>
      </c>
      <c r="M54" s="137" t="str">
        <f t="shared" si="54"/>
        <v/>
      </c>
      <c r="N54" s="138" t="str">
        <f>IF(ISERROR(D54),"",(D54*703)/(Dashboard!$E$6*Dashboard!$E$6))</f>
        <v/>
      </c>
      <c r="O54" s="137" t="str">
        <f>IF(ISERROR(D54),"",IF(D54&lt;=Dashboard!$P$5,"Club10 Achieved!",(Dashboard!$P$5-D54)*-1))</f>
        <v/>
      </c>
      <c r="P54" s="137" t="str">
        <f t="shared" si="55"/>
        <v/>
      </c>
      <c r="Q54" s="137" t="str">
        <f>IF(Dashboard!$E$10="","",IF(ISERROR(D54),"",IF($D54&gt;Dashboard!$E$10,$D54-Dashboard!$E$10,IF($D54="","","Target 1 ACHIEVED!"))))</f>
        <v/>
      </c>
      <c r="R54" s="137" t="str">
        <f t="shared" si="56"/>
        <v/>
      </c>
      <c r="S54" s="137" t="str">
        <f>IF(ISERROR(D54),"",IF(Dashboard!$E$11="","",IF($D54&gt;Dashboard!$E$11,$D54-Dashboard!$E$11,IF($D54="","","Target 2 ACHIEVED!"))))</f>
        <v/>
      </c>
      <c r="T54" s="137" t="str">
        <f t="shared" si="57"/>
        <v/>
      </c>
      <c r="U54" s="137" t="str">
        <f>IF(Dashboard!$E$12="","",IF(ISERROR(D54),"",IF($D54&gt;Dashboard!$E$12,$D54-Dashboard!$E$12,IF($D54="","","Target 3 ACHIEVED!"))))</f>
        <v/>
      </c>
      <c r="V54" s="137" t="str">
        <f t="shared" si="58"/>
        <v/>
      </c>
      <c r="W54" s="137" t="str">
        <f>IF(Dashboard!$E$13="","",IF(ISERROR(D54),"",IF($D54&gt;Dashboard!$E$13,$D54-Dashboard!$E$13,IF($D54="","","Target 4 ACHIEVED!"))))</f>
        <v/>
      </c>
      <c r="X54" s="137" t="str">
        <f t="shared" si="59"/>
        <v/>
      </c>
      <c r="Y54" s="137" t="str">
        <f>IF(ISERROR(D54),"",IF(Dashboard!$E$14="","",IF($D54&gt;Dashboard!$E$14,$D54-Dashboard!$E$14,IF($D54="","","Target ACHIEVED!"))))</f>
        <v/>
      </c>
      <c r="Z54" s="137" t="str">
        <f t="shared" si="60"/>
        <v/>
      </c>
      <c r="AA54" s="153" t="str">
        <f t="shared" si="61"/>
        <v/>
      </c>
    </row>
    <row r="55" spans="1:27" x14ac:dyDescent="0.2">
      <c r="A55" s="139" t="str">
        <f t="shared" si="50"/>
        <v/>
      </c>
      <c r="B55" s="140"/>
      <c r="C55" s="140"/>
      <c r="D55" s="141" t="e">
        <f t="shared" si="51"/>
        <v>#N/A</v>
      </c>
      <c r="E55" s="141" t="str">
        <f t="shared" si="52"/>
        <v/>
      </c>
      <c r="F55" s="141" t="str">
        <f>IF(Dashboard!$E$9="","",Dashboard!$E$9)</f>
        <v/>
      </c>
      <c r="G55" s="141" t="str">
        <f>IF(Dashboard!$E$10="","",Dashboard!$E$10)</f>
        <v/>
      </c>
      <c r="H55" s="141" t="str">
        <f>IF(Dashboard!$E$11="","",Dashboard!$E$11)</f>
        <v/>
      </c>
      <c r="I55" s="141" t="str">
        <f>IF(Dashboard!$E$12="","",Dashboard!$E$12)</f>
        <v/>
      </c>
      <c r="J55" s="141" t="str">
        <f>IF(Dashboard!$E$13="","",Dashboard!$E$13)</f>
        <v/>
      </c>
      <c r="K55" s="141" t="str">
        <f>IF(Dashboard!$E$14="","",Dashboard!$E$14)</f>
        <v/>
      </c>
      <c r="L55" s="141" t="str">
        <f t="shared" si="53"/>
        <v/>
      </c>
      <c r="M55" s="141" t="str">
        <f t="shared" si="54"/>
        <v/>
      </c>
      <c r="N55" s="142" t="str">
        <f>IF(ISERROR(D55),"",(D55*703)/(Dashboard!$E$6*Dashboard!$E$6))</f>
        <v/>
      </c>
      <c r="O55" s="141" t="str">
        <f>IF(ISERROR(D55),"",IF(D55&lt;=Dashboard!$P$5,"Club10 Achieved!",(Dashboard!$P$5-D55)*-1))</f>
        <v/>
      </c>
      <c r="P55" s="141" t="str">
        <f t="shared" si="55"/>
        <v/>
      </c>
      <c r="Q55" s="141" t="str">
        <f>IF(Dashboard!$E$10="","",IF(ISERROR(D55),"",IF($D55&gt;Dashboard!$E$10,$D55-Dashboard!$E$10,IF($D55="","","Target 1 ACHIEVED!"))))</f>
        <v/>
      </c>
      <c r="R55" s="141" t="str">
        <f t="shared" si="56"/>
        <v/>
      </c>
      <c r="S55" s="141" t="str">
        <f>IF(ISERROR(D55),"",IF(Dashboard!$E$11="","",IF($D55&gt;Dashboard!$E$11,$D55-Dashboard!$E$11,IF($D55="","","Target 2 ACHIEVED!"))))</f>
        <v/>
      </c>
      <c r="T55" s="141" t="str">
        <f t="shared" si="57"/>
        <v/>
      </c>
      <c r="U55" s="141" t="str">
        <f>IF(Dashboard!$E$12="","",IF(ISERROR(D55),"",IF($D55&gt;Dashboard!$E$12,$D55-Dashboard!$E$12,IF($D55="","","Target 3 ACHIEVED!"))))</f>
        <v/>
      </c>
      <c r="V55" s="141" t="str">
        <f t="shared" si="58"/>
        <v/>
      </c>
      <c r="W55" s="141" t="str">
        <f>IF(Dashboard!$E$13="","",IF(ISERROR(D55),"",IF($D55&gt;Dashboard!$E$13,$D55-Dashboard!$E$13,IF($D55="","","Target 4 ACHIEVED!"))))</f>
        <v/>
      </c>
      <c r="X55" s="141" t="str">
        <f t="shared" si="59"/>
        <v/>
      </c>
      <c r="Y55" s="141" t="str">
        <f>IF(ISERROR(D55),"",IF(Dashboard!$E$14="","",IF($D55&gt;Dashboard!$E$14,$D55-Dashboard!$E$14,IF($D55="","","Target ACHIEVED!"))))</f>
        <v/>
      </c>
      <c r="Z55" s="141" t="str">
        <f t="shared" si="60"/>
        <v/>
      </c>
      <c r="AA55" s="154" t="str">
        <f t="shared" si="61"/>
        <v/>
      </c>
    </row>
    <row r="56" spans="1:27" x14ac:dyDescent="0.2">
      <c r="A56" s="135" t="str">
        <f t="shared" si="50"/>
        <v/>
      </c>
      <c r="B56" s="136"/>
      <c r="C56" s="136"/>
      <c r="D56" s="137" t="e">
        <f t="shared" si="51"/>
        <v>#N/A</v>
      </c>
      <c r="E56" s="137" t="str">
        <f t="shared" si="52"/>
        <v/>
      </c>
      <c r="F56" s="137" t="str">
        <f>IF(Dashboard!$E$9="","",Dashboard!$E$9)</f>
        <v/>
      </c>
      <c r="G56" s="137" t="str">
        <f>IF(Dashboard!$E$10="","",Dashboard!$E$10)</f>
        <v/>
      </c>
      <c r="H56" s="137" t="str">
        <f>IF(Dashboard!$E$11="","",Dashboard!$E$11)</f>
        <v/>
      </c>
      <c r="I56" s="137" t="str">
        <f>IF(Dashboard!$E$12="","",Dashboard!$E$12)</f>
        <v/>
      </c>
      <c r="J56" s="137" t="str">
        <f>IF(Dashboard!$E$13="","",Dashboard!$E$13)</f>
        <v/>
      </c>
      <c r="K56" s="137" t="str">
        <f>IF(Dashboard!$E$14="","",Dashboard!$E$14)</f>
        <v/>
      </c>
      <c r="L56" s="137" t="str">
        <f t="shared" si="53"/>
        <v/>
      </c>
      <c r="M56" s="137" t="str">
        <f t="shared" si="54"/>
        <v/>
      </c>
      <c r="N56" s="138" t="str">
        <f>IF(ISERROR(D56),"",(D56*703)/(Dashboard!$E$6*Dashboard!$E$6))</f>
        <v/>
      </c>
      <c r="O56" s="137" t="str">
        <f>IF(ISERROR(D56),"",IF(D56&lt;=Dashboard!$P$5,"Club10 Achieved!",(Dashboard!$P$5-D56)*-1))</f>
        <v/>
      </c>
      <c r="P56" s="137" t="str">
        <f t="shared" si="55"/>
        <v/>
      </c>
      <c r="Q56" s="137" t="str">
        <f>IF(Dashboard!$E$10="","",IF(ISERROR(D56),"",IF($D56&gt;Dashboard!$E$10,$D56-Dashboard!$E$10,IF($D56="","","Target 1 ACHIEVED!"))))</f>
        <v/>
      </c>
      <c r="R56" s="137" t="str">
        <f t="shared" si="56"/>
        <v/>
      </c>
      <c r="S56" s="137" t="str">
        <f>IF(ISERROR(D56),"",IF(Dashboard!$E$11="","",IF($D56&gt;Dashboard!$E$11,$D56-Dashboard!$E$11,IF($D56="","","Target 2 ACHIEVED!"))))</f>
        <v/>
      </c>
      <c r="T56" s="137" t="str">
        <f t="shared" si="57"/>
        <v/>
      </c>
      <c r="U56" s="137" t="str">
        <f>IF(Dashboard!$E$12="","",IF(ISERROR(D56),"",IF($D56&gt;Dashboard!$E$12,$D56-Dashboard!$E$12,IF($D56="","","Target 3 ACHIEVED!"))))</f>
        <v/>
      </c>
      <c r="V56" s="137" t="str">
        <f t="shared" si="58"/>
        <v/>
      </c>
      <c r="W56" s="137" t="str">
        <f>IF(Dashboard!$E$13="","",IF(ISERROR(D56),"",IF($D56&gt;Dashboard!$E$13,$D56-Dashboard!$E$13,IF($D56="","","Target 4 ACHIEVED!"))))</f>
        <v/>
      </c>
      <c r="X56" s="137" t="str">
        <f t="shared" si="59"/>
        <v/>
      </c>
      <c r="Y56" s="137" t="str">
        <f>IF(ISERROR(D56),"",IF(Dashboard!$E$14="","",IF($D56&gt;Dashboard!$E$14,$D56-Dashboard!$E$14,IF($D56="","","Target ACHIEVED!"))))</f>
        <v/>
      </c>
      <c r="Z56" s="137" t="str">
        <f t="shared" si="60"/>
        <v/>
      </c>
      <c r="AA56" s="153" t="str">
        <f t="shared" si="61"/>
        <v/>
      </c>
    </row>
    <row r="57" spans="1:27" x14ac:dyDescent="0.2">
      <c r="A57" s="139" t="str">
        <f t="shared" si="50"/>
        <v/>
      </c>
      <c r="B57" s="140"/>
      <c r="C57" s="140"/>
      <c r="D57" s="141" t="e">
        <f t="shared" si="51"/>
        <v>#N/A</v>
      </c>
      <c r="E57" s="141" t="str">
        <f t="shared" si="52"/>
        <v/>
      </c>
      <c r="F57" s="141" t="str">
        <f>IF(Dashboard!$E$9="","",Dashboard!$E$9)</f>
        <v/>
      </c>
      <c r="G57" s="141" t="str">
        <f>IF(Dashboard!$E$10="","",Dashboard!$E$10)</f>
        <v/>
      </c>
      <c r="H57" s="141" t="str">
        <f>IF(Dashboard!$E$11="","",Dashboard!$E$11)</f>
        <v/>
      </c>
      <c r="I57" s="141" t="str">
        <f>IF(Dashboard!$E$12="","",Dashboard!$E$12)</f>
        <v/>
      </c>
      <c r="J57" s="141" t="str">
        <f>IF(Dashboard!$E$13="","",Dashboard!$E$13)</f>
        <v/>
      </c>
      <c r="K57" s="141" t="str">
        <f>IF(Dashboard!$E$14="","",Dashboard!$E$14)</f>
        <v/>
      </c>
      <c r="L57" s="141" t="str">
        <f t="shared" si="53"/>
        <v/>
      </c>
      <c r="M57" s="141" t="str">
        <f t="shared" si="54"/>
        <v/>
      </c>
      <c r="N57" s="142" t="str">
        <f>IF(ISERROR(D57),"",(D57*703)/(Dashboard!$E$6*Dashboard!$E$6))</f>
        <v/>
      </c>
      <c r="O57" s="141" t="str">
        <f>IF(ISERROR(D57),"",IF(D57&lt;=Dashboard!$P$5,"Club10 Achieved!",(Dashboard!$P$5-D57)*-1))</f>
        <v/>
      </c>
      <c r="P57" s="141" t="str">
        <f t="shared" si="55"/>
        <v/>
      </c>
      <c r="Q57" s="141" t="str">
        <f>IF(Dashboard!$E$10="","",IF(ISERROR(D57),"",IF($D57&gt;Dashboard!$E$10,$D57-Dashboard!$E$10,IF($D57="","","Target 1 ACHIEVED!"))))</f>
        <v/>
      </c>
      <c r="R57" s="141" t="str">
        <f t="shared" si="56"/>
        <v/>
      </c>
      <c r="S57" s="141" t="str">
        <f>IF(ISERROR(D57),"",IF(Dashboard!$E$11="","",IF($D57&gt;Dashboard!$E$11,$D57-Dashboard!$E$11,IF($D57="","","Target 2 ACHIEVED!"))))</f>
        <v/>
      </c>
      <c r="T57" s="141" t="str">
        <f t="shared" si="57"/>
        <v/>
      </c>
      <c r="U57" s="141" t="str">
        <f>IF(Dashboard!$E$12="","",IF(ISERROR(D57),"",IF($D57&gt;Dashboard!$E$12,$D57-Dashboard!$E$12,IF($D57="","","Target 3 ACHIEVED!"))))</f>
        <v/>
      </c>
      <c r="V57" s="141" t="str">
        <f t="shared" si="58"/>
        <v/>
      </c>
      <c r="W57" s="141" t="str">
        <f>IF(Dashboard!$E$13="","",IF(ISERROR(D57),"",IF($D57&gt;Dashboard!$E$13,$D57-Dashboard!$E$13,IF($D57="","","Target 4 ACHIEVED!"))))</f>
        <v/>
      </c>
      <c r="X57" s="141" t="str">
        <f t="shared" si="59"/>
        <v/>
      </c>
      <c r="Y57" s="141" t="str">
        <f>IF(ISERROR(D57),"",IF(Dashboard!$E$14="","",IF($D57&gt;Dashboard!$E$14,$D57-Dashboard!$E$14,IF($D57="","","Target ACHIEVED!"))))</f>
        <v/>
      </c>
      <c r="Z57" s="141" t="str">
        <f t="shared" si="60"/>
        <v/>
      </c>
      <c r="AA57" s="154" t="str">
        <f t="shared" si="61"/>
        <v/>
      </c>
    </row>
    <row r="58" spans="1:27" x14ac:dyDescent="0.2">
      <c r="A58" s="144" t="str">
        <f t="shared" si="50"/>
        <v/>
      </c>
      <c r="B58" s="145"/>
      <c r="C58" s="145"/>
      <c r="D58" s="146" t="e">
        <f t="shared" si="51"/>
        <v>#N/A</v>
      </c>
      <c r="E58" s="146" t="str">
        <f t="shared" si="52"/>
        <v/>
      </c>
      <c r="F58" s="146" t="str">
        <f>IF(Dashboard!$E$9="","",Dashboard!$E$9)</f>
        <v/>
      </c>
      <c r="G58" s="146" t="str">
        <f>IF(Dashboard!$E$10="","",Dashboard!$E$10)</f>
        <v/>
      </c>
      <c r="H58" s="146" t="str">
        <f>IF(Dashboard!$E$11="","",Dashboard!$E$11)</f>
        <v/>
      </c>
      <c r="I58" s="146" t="str">
        <f>IF(Dashboard!$E$12="","",Dashboard!$E$12)</f>
        <v/>
      </c>
      <c r="J58" s="146" t="str">
        <f>IF(Dashboard!$E$13="","",Dashboard!$E$13)</f>
        <v/>
      </c>
      <c r="K58" s="146" t="str">
        <f>IF(Dashboard!$E$14="","",Dashboard!$E$14)</f>
        <v/>
      </c>
      <c r="L58" s="146" t="str">
        <f t="shared" si="53"/>
        <v/>
      </c>
      <c r="M58" s="146" t="str">
        <f t="shared" si="54"/>
        <v/>
      </c>
      <c r="N58" s="147" t="str">
        <f>IF(ISERROR(D58),"",(D58*703)/(Dashboard!$E$6*Dashboard!$E$6))</f>
        <v/>
      </c>
      <c r="O58" s="146" t="str">
        <f>IF(ISERROR(D58),"",IF(D58&lt;=Dashboard!$P$5,"Club10 Achieved!",(Dashboard!$P$5-D58)*-1))</f>
        <v/>
      </c>
      <c r="P58" s="146" t="str">
        <f t="shared" si="55"/>
        <v/>
      </c>
      <c r="Q58" s="146" t="str">
        <f>IF(Dashboard!$E$10="","",IF(ISERROR(D58),"",IF($D58&gt;Dashboard!$E$10,$D58-Dashboard!$E$10,IF($D58="","","Target 1 ACHIEVED!"))))</f>
        <v/>
      </c>
      <c r="R58" s="146" t="str">
        <f t="shared" si="56"/>
        <v/>
      </c>
      <c r="S58" s="146" t="str">
        <f>IF(ISERROR(D58),"",IF(Dashboard!$E$11="","",IF($D58&gt;Dashboard!$E$11,$D58-Dashboard!$E$11,IF($D58="","","Target 2 ACHIEVED!"))))</f>
        <v/>
      </c>
      <c r="T58" s="146" t="str">
        <f t="shared" si="57"/>
        <v/>
      </c>
      <c r="U58" s="146" t="str">
        <f>IF(Dashboard!$E$12="","",IF(ISERROR(D58),"",IF($D58&gt;Dashboard!$E$12,$D58-Dashboard!$E$12,IF($D58="","","Target 3 ACHIEVED!"))))</f>
        <v/>
      </c>
      <c r="V58" s="146" t="str">
        <f t="shared" si="58"/>
        <v/>
      </c>
      <c r="W58" s="146" t="str">
        <f>IF(Dashboard!$E$13="","",IF(ISERROR(D58),"",IF($D58&gt;Dashboard!$E$13,$D58-Dashboard!$E$13,IF($D58="","","Target 4 ACHIEVED!"))))</f>
        <v/>
      </c>
      <c r="X58" s="146" t="str">
        <f t="shared" si="59"/>
        <v/>
      </c>
      <c r="Y58" s="146" t="str">
        <f>IF(ISERROR(D58),"",IF(Dashboard!$E$14="","",IF($D58&gt;Dashboard!$E$14,$D58-Dashboard!$E$14,IF($D58="","","Target ACHIEVED!"))))</f>
        <v/>
      </c>
      <c r="Z58" s="146" t="str">
        <f t="shared" si="60"/>
        <v/>
      </c>
      <c r="AA58" s="155" t="str">
        <f t="shared" si="61"/>
        <v/>
      </c>
    </row>
    <row r="59" spans="1:27" x14ac:dyDescent="0.2">
      <c r="A59" s="139" t="str">
        <f t="shared" si="50"/>
        <v/>
      </c>
      <c r="B59" s="140"/>
      <c r="C59" s="140"/>
      <c r="D59" s="141" t="e">
        <f t="shared" si="51"/>
        <v>#N/A</v>
      </c>
      <c r="E59" s="141" t="str">
        <f t="shared" si="52"/>
        <v/>
      </c>
      <c r="F59" s="141" t="str">
        <f>IF(Dashboard!$E$9="","",Dashboard!$E$9)</f>
        <v/>
      </c>
      <c r="G59" s="141" t="str">
        <f>IF(Dashboard!$E$10="","",Dashboard!$E$10)</f>
        <v/>
      </c>
      <c r="H59" s="141" t="str">
        <f>IF(Dashboard!$E$11="","",Dashboard!$E$11)</f>
        <v/>
      </c>
      <c r="I59" s="141" t="str">
        <f>IF(Dashboard!$E$12="","",Dashboard!$E$12)</f>
        <v/>
      </c>
      <c r="J59" s="141" t="str">
        <f>IF(Dashboard!$E$13="","",Dashboard!$E$13)</f>
        <v/>
      </c>
      <c r="K59" s="141" t="str">
        <f>IF(Dashboard!$E$14="","",Dashboard!$E$14)</f>
        <v/>
      </c>
      <c r="L59" s="141" t="str">
        <f t="shared" si="53"/>
        <v/>
      </c>
      <c r="M59" s="141" t="str">
        <f t="shared" si="54"/>
        <v/>
      </c>
      <c r="N59" s="142" t="str">
        <f>IF(ISERROR(D59),"",(D59*703)/(Dashboard!$E$6*Dashboard!$E$6))</f>
        <v/>
      </c>
      <c r="O59" s="141" t="str">
        <f>IF(ISERROR(D59),"",IF(D59&lt;=Dashboard!$P$5,"Club10 Achieved!",(Dashboard!$P$5-D59)*-1))</f>
        <v/>
      </c>
      <c r="P59" s="141" t="str">
        <f t="shared" si="55"/>
        <v/>
      </c>
      <c r="Q59" s="141" t="str">
        <f>IF(Dashboard!$E$10="","",IF(ISERROR(D59),"",IF($D59&gt;Dashboard!$E$10,$D59-Dashboard!$E$10,IF($D59="","","Target 1 ACHIEVED!"))))</f>
        <v/>
      </c>
      <c r="R59" s="141" t="str">
        <f t="shared" si="56"/>
        <v/>
      </c>
      <c r="S59" s="141" t="str">
        <f>IF(ISERROR(D59),"",IF(Dashboard!$E$11="","",IF($D59&gt;Dashboard!$E$11,$D59-Dashboard!$E$11,IF($D59="","","Target 2 ACHIEVED!"))))</f>
        <v/>
      </c>
      <c r="T59" s="141" t="str">
        <f t="shared" si="57"/>
        <v/>
      </c>
      <c r="U59" s="141" t="str">
        <f>IF(Dashboard!$E$12="","",IF(ISERROR(D59),"",IF($D59&gt;Dashboard!$E$12,$D59-Dashboard!$E$12,IF($D59="","","Target 3 ACHIEVED!"))))</f>
        <v/>
      </c>
      <c r="V59" s="141" t="str">
        <f t="shared" si="58"/>
        <v/>
      </c>
      <c r="W59" s="141" t="str">
        <f>IF(Dashboard!$E$13="","",IF(ISERROR(D59),"",IF($D59&gt;Dashboard!$E$13,$D59-Dashboard!$E$13,IF($D59="","","Target 4 ACHIEVED!"))))</f>
        <v/>
      </c>
      <c r="X59" s="141" t="str">
        <f t="shared" si="59"/>
        <v/>
      </c>
      <c r="Y59" s="141" t="str">
        <f>IF(ISERROR(D59),"",IF(Dashboard!$E$14="","",IF($D59&gt;Dashboard!$E$14,$D59-Dashboard!$E$14,IF($D59="","","Target ACHIEVED!"))))</f>
        <v/>
      </c>
      <c r="Z59" s="141" t="str">
        <f t="shared" si="60"/>
        <v/>
      </c>
      <c r="AA59" s="154" t="str">
        <f t="shared" si="61"/>
        <v/>
      </c>
    </row>
    <row r="60" spans="1:27" x14ac:dyDescent="0.2">
      <c r="A60" s="144" t="str">
        <f t="shared" si="50"/>
        <v/>
      </c>
      <c r="B60" s="145"/>
      <c r="C60" s="145"/>
      <c r="D60" s="146" t="e">
        <f t="shared" si="51"/>
        <v>#N/A</v>
      </c>
      <c r="E60" s="146" t="str">
        <f t="shared" si="52"/>
        <v/>
      </c>
      <c r="F60" s="146" t="str">
        <f>IF(Dashboard!$E$9="","",Dashboard!$E$9)</f>
        <v/>
      </c>
      <c r="G60" s="146" t="str">
        <f>IF(Dashboard!$E$10="","",Dashboard!$E$10)</f>
        <v/>
      </c>
      <c r="H60" s="146" t="str">
        <f>IF(Dashboard!$E$11="","",Dashboard!$E$11)</f>
        <v/>
      </c>
      <c r="I60" s="146" t="str">
        <f>IF(Dashboard!$E$12="","",Dashboard!$E$12)</f>
        <v/>
      </c>
      <c r="J60" s="146" t="str">
        <f>IF(Dashboard!$E$13="","",Dashboard!$E$13)</f>
        <v/>
      </c>
      <c r="K60" s="146" t="str">
        <f>IF(Dashboard!$E$14="","",Dashboard!$E$14)</f>
        <v/>
      </c>
      <c r="L60" s="146" t="str">
        <f t="shared" si="53"/>
        <v/>
      </c>
      <c r="M60" s="146" t="str">
        <f t="shared" si="54"/>
        <v/>
      </c>
      <c r="N60" s="147" t="str">
        <f>IF(ISERROR(D60),"",(D60*703)/(Dashboard!$E$6*Dashboard!$E$6))</f>
        <v/>
      </c>
      <c r="O60" s="146" t="str">
        <f>IF(ISERROR(D60),"",IF(D60&lt;=Dashboard!$P$5,"Club10 Achieved!",(Dashboard!$P$5-D60)*-1))</f>
        <v/>
      </c>
      <c r="P60" s="146" t="str">
        <f t="shared" si="55"/>
        <v/>
      </c>
      <c r="Q60" s="146" t="str">
        <f>IF(Dashboard!$E$10="","",IF(ISERROR(D60),"",IF($D60&gt;Dashboard!$E$10,$D60-Dashboard!$E$10,IF($D60="","","Target 1 ACHIEVED!"))))</f>
        <v/>
      </c>
      <c r="R60" s="146" t="str">
        <f t="shared" si="56"/>
        <v/>
      </c>
      <c r="S60" s="146" t="str">
        <f>IF(ISERROR(D60),"",IF(Dashboard!$E$11="","",IF($D60&gt;Dashboard!$E$11,$D60-Dashboard!$E$11,IF($D60="","","Target 2 ACHIEVED!"))))</f>
        <v/>
      </c>
      <c r="T60" s="146" t="str">
        <f t="shared" si="57"/>
        <v/>
      </c>
      <c r="U60" s="146" t="str">
        <f>IF(Dashboard!$E$12="","",IF(ISERROR(D60),"",IF($D60&gt;Dashboard!$E$12,$D60-Dashboard!$E$12,IF($D60="","","Target 3 ACHIEVED!"))))</f>
        <v/>
      </c>
      <c r="V60" s="146" t="str">
        <f t="shared" si="58"/>
        <v/>
      </c>
      <c r="W60" s="146" t="str">
        <f>IF(Dashboard!$E$13="","",IF(ISERROR(D60),"",IF($D60&gt;Dashboard!$E$13,$D60-Dashboard!$E$13,IF($D60="","","Target 4 ACHIEVED!"))))</f>
        <v/>
      </c>
      <c r="X60" s="146" t="str">
        <f t="shared" si="59"/>
        <v/>
      </c>
      <c r="Y60" s="146" t="str">
        <f>IF(ISERROR(D60),"",IF(Dashboard!$E$14="","",IF($D60&gt;Dashboard!$E$14,$D60-Dashboard!$E$14,IF($D60="","","Target ACHIEVED!"))))</f>
        <v/>
      </c>
      <c r="Z60" s="146" t="str">
        <f t="shared" si="60"/>
        <v/>
      </c>
      <c r="AA60" s="155" t="str">
        <f t="shared" si="61"/>
        <v/>
      </c>
    </row>
    <row r="61" spans="1:27" x14ac:dyDescent="0.2">
      <c r="A61" s="139" t="str">
        <f t="shared" ref="A61:A68" si="62">IF(ISERROR(D61),"",A60+7)</f>
        <v/>
      </c>
      <c r="B61" s="140"/>
      <c r="C61" s="140"/>
      <c r="D61" s="141" t="e">
        <f t="shared" ref="D61:D68" si="63">IF(B61="",NA(),(B61*14)+C61)</f>
        <v>#N/A</v>
      </c>
      <c r="E61" s="141" t="str">
        <f t="shared" ref="E61:E68" si="64">IF(ISERROR(D61),"",D61)</f>
        <v/>
      </c>
      <c r="F61" s="141" t="str">
        <f>IF(Dashboard!$E$9="","",Dashboard!$E$9)</f>
        <v/>
      </c>
      <c r="G61" s="141" t="str">
        <f>IF(Dashboard!$E$10="","",Dashboard!$E$10)</f>
        <v/>
      </c>
      <c r="H61" s="141" t="str">
        <f>IF(Dashboard!$E$11="","",Dashboard!$E$11)</f>
        <v/>
      </c>
      <c r="I61" s="141" t="str">
        <f>IF(Dashboard!$E$12="","",Dashboard!$E$12)</f>
        <v/>
      </c>
      <c r="J61" s="141" t="str">
        <f>IF(Dashboard!$E$13="","",Dashboard!$E$13)</f>
        <v/>
      </c>
      <c r="K61" s="141" t="str">
        <f>IF(Dashboard!$E$14="","",Dashboard!$E$14)</f>
        <v/>
      </c>
      <c r="L61" s="141" t="str">
        <f t="shared" ref="L61:L68" si="65">IF(ISERROR(D61),"",D61-D60)</f>
        <v/>
      </c>
      <c r="M61" s="141" t="str">
        <f t="shared" ref="M61:M68" si="66">IF(B61="","",$D$2-D61)</f>
        <v/>
      </c>
      <c r="N61" s="142" t="str">
        <f>IF(ISERROR(D61),"",(D61*703)/(Dashboard!$E$6*Dashboard!$E$6))</f>
        <v/>
      </c>
      <c r="O61" s="141" t="str">
        <f>IF(ISERROR(D61),"",IF(D61&lt;=Dashboard!$P$5,"Club10 Achieved!",(Dashboard!$P$5-D61)*-1))</f>
        <v/>
      </c>
      <c r="P61" s="141" t="str">
        <f t="shared" ref="P61:P68" si="67">IF(O61="","",IF(O61="Club10 Achieved!","Club10 Achieved!",CONCATENATE(ROUNDDOWN(O61/14,0)," st ",MOD(O61,14)," lbs")))</f>
        <v/>
      </c>
      <c r="Q61" s="141" t="str">
        <f>IF(Dashboard!$E$10="","",IF(ISERROR(D61),"",IF($D61&gt;Dashboard!$E$10,$D61-Dashboard!$E$10,IF($D61="","","Target 1 ACHIEVED!"))))</f>
        <v/>
      </c>
      <c r="R61" s="141" t="str">
        <f t="shared" ref="R61:R68" si="68">IF(Q61="","",IF(Q61="Target 1 ACHIEVED!","Target 1 ACHIEVED!",CONCATENATE(ROUNDDOWN(Q61/14,0)," st ",MOD(Q61,14)," lbs")))</f>
        <v/>
      </c>
      <c r="S61" s="141" t="str">
        <f>IF(ISERROR(D61),"",IF(Dashboard!$E$11="","",IF($D61&gt;Dashboard!$E$11,$D61-Dashboard!$E$11,IF($D61="","","Target 2 ACHIEVED!"))))</f>
        <v/>
      </c>
      <c r="T61" s="141" t="str">
        <f t="shared" ref="T61:T68" si="69">IF(S61="","",IF(S61="Target 2 ACHIEVED!","Target 2 ACHIEVED!",CONCATENATE(ROUNDDOWN(S61/14,0)," st ",MOD(S61,14)," lbs")))</f>
        <v/>
      </c>
      <c r="U61" s="141" t="str">
        <f>IF(Dashboard!$E$12="","",IF(ISERROR(D61),"",IF($D61&gt;Dashboard!$E$12,$D61-Dashboard!$E$12,IF($D61="","","Target 3 ACHIEVED!"))))</f>
        <v/>
      </c>
      <c r="V61" s="141" t="str">
        <f t="shared" ref="V61:V68" si="70">IF(U61="","",IF(U61="Target 3 ACHIEVED!","Target 3 ACHIEVED!",CONCATENATE(ROUNDDOWN(U61/14,0)," st ",MOD(U61,14)," lbs")))</f>
        <v/>
      </c>
      <c r="W61" s="141" t="str">
        <f>IF(Dashboard!$E$13="","",IF(ISERROR(D61),"",IF($D61&gt;Dashboard!$E$13,$D61-Dashboard!$E$13,IF($D61="","","Target 4 ACHIEVED!"))))</f>
        <v/>
      </c>
      <c r="X61" s="141" t="str">
        <f t="shared" ref="X61:X68" si="71">IF(W61="","",IF(W61="Target 4 ACHIEVED!","Target 4 ACHIEVED!",CONCATENATE(ROUNDDOWN(W61/14,0)," st ",MOD(W61,14)," lbs")))</f>
        <v/>
      </c>
      <c r="Y61" s="141" t="str">
        <f>IF(ISERROR(D61),"",IF(Dashboard!$E$14="","",IF($D61&gt;Dashboard!$E$14,$D61-Dashboard!$E$14,IF($D61="","","Target ACHIEVED!"))))</f>
        <v/>
      </c>
      <c r="Z61" s="141" t="str">
        <f t="shared" ref="Z61:Z68" si="72">IF(Y61="","",IF(Y61="Target ACHIEVED!","Target ACHIEVED!",CONCATENATE(ROUNDDOWN(Y61/14,0)," st ",MOD(Y61,14)," lbs")))</f>
        <v/>
      </c>
      <c r="AA61" s="154" t="str">
        <f t="shared" ref="AA61:AA68" si="73">IF((AND(M61&lt;=202.5,M61&gt;=196)),"14 STONE",
 IF((AND(M61&lt;=195.5,M61&gt;=189)),"13.5 STONE",
 IF((AND(M61&lt;=188.5,M61&gt;=182)),"13 STONE",
 IF((AND(M61&lt;=181.5,M61&gt;=175)),"12.5 STONE",
 IF((AND(M61&lt;=174.5,M61&gt;=168)),"12 STONE",
 IF((AND(M61&lt;=167.5,M61&gt;=161)),"11.5 STONE",
 IF((AND(M61&lt;=160.5,M61&gt;=154)),"11 STONE",
 IF((AND(M61&lt;=153.5,M61&gt;=147)),"10.5 STONE",
 IF((AND(M61&lt;=146.5,M61&gt;=140)),"10 STONE",
 IF((AND(M61&lt;=139.5,M61&gt;=133)),"9.5 STONE",
 IF((AND(M61&lt;=132.5,M61&gt;=126)),"9 STONE",
 IF((AND(M61&lt;=125.5,M61&gt;=119)),"8.5 STONE",
 IF((AND(M61&lt;=118.5,M61&gt;=112)),"8 STONE",
 IF((AND(M61&lt;=111.5,M61&gt;=105)),"7.5 STONE",
 IF((AND(M61&lt;=104.5,M61&gt;=98)),"7 STONE",
 IF((AND(M61&lt;=97.5,M61&gt;=91)),"6.5 STONE",
 IF((AND(M61&lt;=90.5,M61&gt;=84)),"6 STONE",
 IF((AND(M61&lt;=83.5,M61&gt;=77)),"5.5 STONE",
 IF((AND(M61&lt;=76.5,M61&gt;=70)),"5 STONE",
 IF((AND(M61&lt;=69.5,M61&gt;=63)),"4.5 STONE",
 IF((AND(M61&lt;=62.5,M61&gt;=56)),"4 STONE",
 IF((AND(M61&lt;=55.5,M61&gt;=49)),"3.5 STONE",
 IF((AND(M61&lt;=48.5,M61&gt;=42)),"3 STONE",
 IF((AND(M61&lt;=41.5,M61&gt;=35)),"2.5 STONE",
 IF((AND(M61&lt;=34.5,M61&gt;=28)),"2 STONE",
 IF((AND(M61&lt;=27.5,M61&gt;=21)),"1.5 STONE",
 IF((AND(M61&lt;=20.5,M61&gt;=14)),"1 STONE",
 IF((AND(M61&lt;=13.5,M61&gt;=7)),"0.5 STONE",
 IF((AND(M61&lt;=6.5,M61&gt;=0)),"",
 "")))))))))))))))))))))))))))))</f>
        <v/>
      </c>
    </row>
    <row r="62" spans="1:27" x14ac:dyDescent="0.2">
      <c r="A62" s="135" t="str">
        <f t="shared" si="62"/>
        <v/>
      </c>
      <c r="B62" s="136"/>
      <c r="C62" s="136"/>
      <c r="D62" s="137" t="e">
        <f t="shared" si="63"/>
        <v>#N/A</v>
      </c>
      <c r="E62" s="137" t="str">
        <f t="shared" si="64"/>
        <v/>
      </c>
      <c r="F62" s="137" t="str">
        <f>IF(Dashboard!$E$9="","",Dashboard!$E$9)</f>
        <v/>
      </c>
      <c r="G62" s="137" t="str">
        <f>IF(Dashboard!$E$10="","",Dashboard!$E$10)</f>
        <v/>
      </c>
      <c r="H62" s="137" t="str">
        <f>IF(Dashboard!$E$11="","",Dashboard!$E$11)</f>
        <v/>
      </c>
      <c r="I62" s="137" t="str">
        <f>IF(Dashboard!$E$12="","",Dashboard!$E$12)</f>
        <v/>
      </c>
      <c r="J62" s="137" t="str">
        <f>IF(Dashboard!$E$13="","",Dashboard!$E$13)</f>
        <v/>
      </c>
      <c r="K62" s="137" t="str">
        <f>IF(Dashboard!$E$14="","",Dashboard!$E$14)</f>
        <v/>
      </c>
      <c r="L62" s="137" t="str">
        <f t="shared" si="65"/>
        <v/>
      </c>
      <c r="M62" s="137" t="str">
        <f t="shared" si="66"/>
        <v/>
      </c>
      <c r="N62" s="138" t="str">
        <f>IF(ISERROR(D62),"",(D62*703)/(Dashboard!$E$6*Dashboard!$E$6))</f>
        <v/>
      </c>
      <c r="O62" s="137" t="str">
        <f>IF(ISERROR(D62),"",IF(D62&lt;=Dashboard!$P$5,"Club10 Achieved!",(Dashboard!$P$5-D62)*-1))</f>
        <v/>
      </c>
      <c r="P62" s="137" t="str">
        <f t="shared" si="67"/>
        <v/>
      </c>
      <c r="Q62" s="137" t="str">
        <f>IF(Dashboard!$E$10="","",IF(ISERROR(D62),"",IF($D62&gt;Dashboard!$E$10,$D62-Dashboard!$E$10,IF($D62="","","Target 1 ACHIEVED!"))))</f>
        <v/>
      </c>
      <c r="R62" s="137" t="str">
        <f t="shared" si="68"/>
        <v/>
      </c>
      <c r="S62" s="137" t="str">
        <f>IF(ISERROR(D62),"",IF(Dashboard!$E$11="","",IF($D62&gt;Dashboard!$E$11,$D62-Dashboard!$E$11,IF($D62="","","Target 2 ACHIEVED!"))))</f>
        <v/>
      </c>
      <c r="T62" s="137" t="str">
        <f t="shared" si="69"/>
        <v/>
      </c>
      <c r="U62" s="137" t="str">
        <f>IF(Dashboard!$E$12="","",IF(ISERROR(D62),"",IF($D62&gt;Dashboard!$E$12,$D62-Dashboard!$E$12,IF($D62="","","Target 3 ACHIEVED!"))))</f>
        <v/>
      </c>
      <c r="V62" s="137" t="str">
        <f t="shared" si="70"/>
        <v/>
      </c>
      <c r="W62" s="137" t="str">
        <f>IF(Dashboard!$E$13="","",IF(ISERROR(D62),"",IF($D62&gt;Dashboard!$E$13,$D62-Dashboard!$E$13,IF($D62="","","Target 4 ACHIEVED!"))))</f>
        <v/>
      </c>
      <c r="X62" s="137" t="str">
        <f t="shared" si="71"/>
        <v/>
      </c>
      <c r="Y62" s="137" t="str">
        <f>IF(ISERROR(D62),"",IF(Dashboard!$E$14="","",IF($D62&gt;Dashboard!$E$14,$D62-Dashboard!$E$14,IF($D62="","","Target ACHIEVED!"))))</f>
        <v/>
      </c>
      <c r="Z62" s="137" t="str">
        <f t="shared" si="72"/>
        <v/>
      </c>
      <c r="AA62" s="153" t="str">
        <f t="shared" si="73"/>
        <v/>
      </c>
    </row>
    <row r="63" spans="1:27" x14ac:dyDescent="0.2">
      <c r="A63" s="139" t="str">
        <f t="shared" si="62"/>
        <v/>
      </c>
      <c r="B63" s="140"/>
      <c r="C63" s="140"/>
      <c r="D63" s="141" t="e">
        <f t="shared" si="63"/>
        <v>#N/A</v>
      </c>
      <c r="E63" s="141" t="str">
        <f t="shared" si="64"/>
        <v/>
      </c>
      <c r="F63" s="141" t="str">
        <f>IF(Dashboard!$E$9="","",Dashboard!$E$9)</f>
        <v/>
      </c>
      <c r="G63" s="141" t="str">
        <f>IF(Dashboard!$E$10="","",Dashboard!$E$10)</f>
        <v/>
      </c>
      <c r="H63" s="141" t="str">
        <f>IF(Dashboard!$E$11="","",Dashboard!$E$11)</f>
        <v/>
      </c>
      <c r="I63" s="141" t="str">
        <f>IF(Dashboard!$E$12="","",Dashboard!$E$12)</f>
        <v/>
      </c>
      <c r="J63" s="141" t="str">
        <f>IF(Dashboard!$E$13="","",Dashboard!$E$13)</f>
        <v/>
      </c>
      <c r="K63" s="141" t="str">
        <f>IF(Dashboard!$E$14="","",Dashboard!$E$14)</f>
        <v/>
      </c>
      <c r="L63" s="141" t="str">
        <f t="shared" si="65"/>
        <v/>
      </c>
      <c r="M63" s="141" t="str">
        <f t="shared" si="66"/>
        <v/>
      </c>
      <c r="N63" s="142" t="str">
        <f>IF(ISERROR(D63),"",(D63*703)/(Dashboard!$E$6*Dashboard!$E$6))</f>
        <v/>
      </c>
      <c r="O63" s="141" t="str">
        <f>IF(ISERROR(D63),"",IF(D63&lt;=Dashboard!$P$5,"Club10 Achieved!",(Dashboard!$P$5-D63)*-1))</f>
        <v/>
      </c>
      <c r="P63" s="141" t="str">
        <f t="shared" si="67"/>
        <v/>
      </c>
      <c r="Q63" s="141" t="str">
        <f>IF(Dashboard!$E$10="","",IF(ISERROR(D63),"",IF($D63&gt;Dashboard!$E$10,$D63-Dashboard!$E$10,IF($D63="","","Target 1 ACHIEVED!"))))</f>
        <v/>
      </c>
      <c r="R63" s="141" t="str">
        <f t="shared" si="68"/>
        <v/>
      </c>
      <c r="S63" s="141" t="str">
        <f>IF(ISERROR(D63),"",IF(Dashboard!$E$11="","",IF($D63&gt;Dashboard!$E$11,$D63-Dashboard!$E$11,IF($D63="","","Target 2 ACHIEVED!"))))</f>
        <v/>
      </c>
      <c r="T63" s="141" t="str">
        <f t="shared" si="69"/>
        <v/>
      </c>
      <c r="U63" s="141" t="str">
        <f>IF(Dashboard!$E$12="","",IF(ISERROR(D63),"",IF($D63&gt;Dashboard!$E$12,$D63-Dashboard!$E$12,IF($D63="","","Target 3 ACHIEVED!"))))</f>
        <v/>
      </c>
      <c r="V63" s="141" t="str">
        <f t="shared" si="70"/>
        <v/>
      </c>
      <c r="W63" s="141" t="str">
        <f>IF(Dashboard!$E$13="","",IF(ISERROR(D63),"",IF($D63&gt;Dashboard!$E$13,$D63-Dashboard!$E$13,IF($D63="","","Target 4 ACHIEVED!"))))</f>
        <v/>
      </c>
      <c r="X63" s="141" t="str">
        <f t="shared" si="71"/>
        <v/>
      </c>
      <c r="Y63" s="141" t="str">
        <f>IF(ISERROR(D63),"",IF(Dashboard!$E$14="","",IF($D63&gt;Dashboard!$E$14,$D63-Dashboard!$E$14,IF($D63="","","Target ACHIEVED!"))))</f>
        <v/>
      </c>
      <c r="Z63" s="141" t="str">
        <f t="shared" si="72"/>
        <v/>
      </c>
      <c r="AA63" s="154" t="str">
        <f t="shared" si="73"/>
        <v/>
      </c>
    </row>
    <row r="64" spans="1:27" x14ac:dyDescent="0.2">
      <c r="A64" s="135" t="str">
        <f t="shared" si="62"/>
        <v/>
      </c>
      <c r="B64" s="136"/>
      <c r="C64" s="136"/>
      <c r="D64" s="137" t="e">
        <f t="shared" si="63"/>
        <v>#N/A</v>
      </c>
      <c r="E64" s="137" t="str">
        <f t="shared" si="64"/>
        <v/>
      </c>
      <c r="F64" s="137" t="str">
        <f>IF(Dashboard!$E$9="","",Dashboard!$E$9)</f>
        <v/>
      </c>
      <c r="G64" s="137" t="str">
        <f>IF(Dashboard!$E$10="","",Dashboard!$E$10)</f>
        <v/>
      </c>
      <c r="H64" s="137" t="str">
        <f>IF(Dashboard!$E$11="","",Dashboard!$E$11)</f>
        <v/>
      </c>
      <c r="I64" s="137" t="str">
        <f>IF(Dashboard!$E$12="","",Dashboard!$E$12)</f>
        <v/>
      </c>
      <c r="J64" s="137" t="str">
        <f>IF(Dashboard!$E$13="","",Dashboard!$E$13)</f>
        <v/>
      </c>
      <c r="K64" s="137" t="str">
        <f>IF(Dashboard!$E$14="","",Dashboard!$E$14)</f>
        <v/>
      </c>
      <c r="L64" s="137" t="str">
        <f t="shared" si="65"/>
        <v/>
      </c>
      <c r="M64" s="137" t="str">
        <f t="shared" si="66"/>
        <v/>
      </c>
      <c r="N64" s="138" t="str">
        <f>IF(ISERROR(D64),"",(D64*703)/(Dashboard!$E$6*Dashboard!$E$6))</f>
        <v/>
      </c>
      <c r="O64" s="137" t="str">
        <f>IF(ISERROR(D64),"",IF(D64&lt;=Dashboard!$P$5,"Club10 Achieved!",(Dashboard!$P$5-D64)*-1))</f>
        <v/>
      </c>
      <c r="P64" s="137" t="str">
        <f t="shared" si="67"/>
        <v/>
      </c>
      <c r="Q64" s="137" t="str">
        <f>IF(Dashboard!$E$10="","",IF(ISERROR(D64),"",IF($D64&gt;Dashboard!$E$10,$D64-Dashboard!$E$10,IF($D64="","","Target 1 ACHIEVED!"))))</f>
        <v/>
      </c>
      <c r="R64" s="137" t="str">
        <f t="shared" si="68"/>
        <v/>
      </c>
      <c r="S64" s="137" t="str">
        <f>IF(ISERROR(D64),"",IF(Dashboard!$E$11="","",IF($D64&gt;Dashboard!$E$11,$D64-Dashboard!$E$11,IF($D64="","","Target 2 ACHIEVED!"))))</f>
        <v/>
      </c>
      <c r="T64" s="137" t="str">
        <f t="shared" si="69"/>
        <v/>
      </c>
      <c r="U64" s="137" t="str">
        <f>IF(Dashboard!$E$12="","",IF(ISERROR(D64),"",IF($D64&gt;Dashboard!$E$12,$D64-Dashboard!$E$12,IF($D64="","","Target 3 ACHIEVED!"))))</f>
        <v/>
      </c>
      <c r="V64" s="137" t="str">
        <f t="shared" si="70"/>
        <v/>
      </c>
      <c r="W64" s="137" t="str">
        <f>IF(Dashboard!$E$13="","",IF(ISERROR(D64),"",IF($D64&gt;Dashboard!$E$13,$D64-Dashboard!$E$13,IF($D64="","","Target 4 ACHIEVED!"))))</f>
        <v/>
      </c>
      <c r="X64" s="137" t="str">
        <f t="shared" si="71"/>
        <v/>
      </c>
      <c r="Y64" s="137" t="str">
        <f>IF(ISERROR(D64),"",IF(Dashboard!$E$14="","",IF($D64&gt;Dashboard!$E$14,$D64-Dashboard!$E$14,IF($D64="","","Target ACHIEVED!"))))</f>
        <v/>
      </c>
      <c r="Z64" s="137" t="str">
        <f t="shared" si="72"/>
        <v/>
      </c>
      <c r="AA64" s="153" t="str">
        <f t="shared" si="73"/>
        <v/>
      </c>
    </row>
    <row r="65" spans="1:27" x14ac:dyDescent="0.2">
      <c r="A65" s="139" t="str">
        <f t="shared" si="62"/>
        <v/>
      </c>
      <c r="B65" s="140"/>
      <c r="C65" s="140"/>
      <c r="D65" s="141" t="e">
        <f t="shared" si="63"/>
        <v>#N/A</v>
      </c>
      <c r="E65" s="141" t="str">
        <f t="shared" si="64"/>
        <v/>
      </c>
      <c r="F65" s="141" t="str">
        <f>IF(Dashboard!$E$9="","",Dashboard!$E$9)</f>
        <v/>
      </c>
      <c r="G65" s="141" t="str">
        <f>IF(Dashboard!$E$10="","",Dashboard!$E$10)</f>
        <v/>
      </c>
      <c r="H65" s="141" t="str">
        <f>IF(Dashboard!$E$11="","",Dashboard!$E$11)</f>
        <v/>
      </c>
      <c r="I65" s="141" t="str">
        <f>IF(Dashboard!$E$12="","",Dashboard!$E$12)</f>
        <v/>
      </c>
      <c r="J65" s="141" t="str">
        <f>IF(Dashboard!$E$13="","",Dashboard!$E$13)</f>
        <v/>
      </c>
      <c r="K65" s="141" t="str">
        <f>IF(Dashboard!$E$14="","",Dashboard!$E$14)</f>
        <v/>
      </c>
      <c r="L65" s="141" t="str">
        <f t="shared" si="65"/>
        <v/>
      </c>
      <c r="M65" s="141" t="str">
        <f t="shared" si="66"/>
        <v/>
      </c>
      <c r="N65" s="142" t="str">
        <f>IF(ISERROR(D65),"",(D65*703)/(Dashboard!$E$6*Dashboard!$E$6))</f>
        <v/>
      </c>
      <c r="O65" s="141" t="str">
        <f>IF(ISERROR(D65),"",IF(D65&lt;=Dashboard!$P$5,"Club10 Achieved!",(Dashboard!$P$5-D65)*-1))</f>
        <v/>
      </c>
      <c r="P65" s="141" t="str">
        <f t="shared" si="67"/>
        <v/>
      </c>
      <c r="Q65" s="141" t="str">
        <f>IF(Dashboard!$E$10="","",IF(ISERROR(D65),"",IF($D65&gt;Dashboard!$E$10,$D65-Dashboard!$E$10,IF($D65="","","Target 1 ACHIEVED!"))))</f>
        <v/>
      </c>
      <c r="R65" s="141" t="str">
        <f t="shared" si="68"/>
        <v/>
      </c>
      <c r="S65" s="141" t="str">
        <f>IF(ISERROR(D65),"",IF(Dashboard!$E$11="","",IF($D65&gt;Dashboard!$E$11,$D65-Dashboard!$E$11,IF($D65="","","Target 2 ACHIEVED!"))))</f>
        <v/>
      </c>
      <c r="T65" s="141" t="str">
        <f t="shared" si="69"/>
        <v/>
      </c>
      <c r="U65" s="141" t="str">
        <f>IF(Dashboard!$E$12="","",IF(ISERROR(D65),"",IF($D65&gt;Dashboard!$E$12,$D65-Dashboard!$E$12,IF($D65="","","Target 3 ACHIEVED!"))))</f>
        <v/>
      </c>
      <c r="V65" s="141" t="str">
        <f t="shared" si="70"/>
        <v/>
      </c>
      <c r="W65" s="141" t="str">
        <f>IF(Dashboard!$E$13="","",IF(ISERROR(D65),"",IF($D65&gt;Dashboard!$E$13,$D65-Dashboard!$E$13,IF($D65="","","Target 4 ACHIEVED!"))))</f>
        <v/>
      </c>
      <c r="X65" s="141" t="str">
        <f t="shared" si="71"/>
        <v/>
      </c>
      <c r="Y65" s="141" t="str">
        <f>IF(ISERROR(D65),"",IF(Dashboard!$E$14="","",IF($D65&gt;Dashboard!$E$14,$D65-Dashboard!$E$14,IF($D65="","","Target ACHIEVED!"))))</f>
        <v/>
      </c>
      <c r="Z65" s="141" t="str">
        <f t="shared" si="72"/>
        <v/>
      </c>
      <c r="AA65" s="154" t="str">
        <f t="shared" si="73"/>
        <v/>
      </c>
    </row>
    <row r="66" spans="1:27" x14ac:dyDescent="0.2">
      <c r="A66" s="135" t="str">
        <f t="shared" si="62"/>
        <v/>
      </c>
      <c r="B66" s="136"/>
      <c r="C66" s="136"/>
      <c r="D66" s="137" t="e">
        <f t="shared" si="63"/>
        <v>#N/A</v>
      </c>
      <c r="E66" s="137" t="str">
        <f t="shared" si="64"/>
        <v/>
      </c>
      <c r="F66" s="137" t="str">
        <f>IF(Dashboard!$E$9="","",Dashboard!$E$9)</f>
        <v/>
      </c>
      <c r="G66" s="137" t="str">
        <f>IF(Dashboard!$E$10="","",Dashboard!$E$10)</f>
        <v/>
      </c>
      <c r="H66" s="137" t="str">
        <f>IF(Dashboard!$E$11="","",Dashboard!$E$11)</f>
        <v/>
      </c>
      <c r="I66" s="137" t="str">
        <f>IF(Dashboard!$E$12="","",Dashboard!$E$12)</f>
        <v/>
      </c>
      <c r="J66" s="137" t="str">
        <f>IF(Dashboard!$E$13="","",Dashboard!$E$13)</f>
        <v/>
      </c>
      <c r="K66" s="137" t="str">
        <f>IF(Dashboard!$E$14="","",Dashboard!$E$14)</f>
        <v/>
      </c>
      <c r="L66" s="137" t="str">
        <f t="shared" si="65"/>
        <v/>
      </c>
      <c r="M66" s="137" t="str">
        <f t="shared" si="66"/>
        <v/>
      </c>
      <c r="N66" s="138" t="str">
        <f>IF(ISERROR(D66),"",(D66*703)/(Dashboard!$E$6*Dashboard!$E$6))</f>
        <v/>
      </c>
      <c r="O66" s="137" t="str">
        <f>IF(ISERROR(D66),"",IF(D66&lt;=Dashboard!$P$5,"Club10 Achieved!",(Dashboard!$P$5-D66)*-1))</f>
        <v/>
      </c>
      <c r="P66" s="137" t="str">
        <f t="shared" si="67"/>
        <v/>
      </c>
      <c r="Q66" s="137" t="str">
        <f>IF(Dashboard!$E$10="","",IF(ISERROR(D66),"",IF($D66&gt;Dashboard!$E$10,$D66-Dashboard!$E$10,IF($D66="","","Target 1 ACHIEVED!"))))</f>
        <v/>
      </c>
      <c r="R66" s="137" t="str">
        <f t="shared" si="68"/>
        <v/>
      </c>
      <c r="S66" s="137" t="str">
        <f>IF(ISERROR(D66),"",IF(Dashboard!$E$11="","",IF($D66&gt;Dashboard!$E$11,$D66-Dashboard!$E$11,IF($D66="","","Target 2 ACHIEVED!"))))</f>
        <v/>
      </c>
      <c r="T66" s="137" t="str">
        <f t="shared" si="69"/>
        <v/>
      </c>
      <c r="U66" s="137" t="str">
        <f>IF(Dashboard!$E$12="","",IF(ISERROR(D66),"",IF($D66&gt;Dashboard!$E$12,$D66-Dashboard!$E$12,IF($D66="","","Target 3 ACHIEVED!"))))</f>
        <v/>
      </c>
      <c r="V66" s="137" t="str">
        <f t="shared" si="70"/>
        <v/>
      </c>
      <c r="W66" s="137" t="str">
        <f>IF(Dashboard!$E$13="","",IF(ISERROR(D66),"",IF($D66&gt;Dashboard!$E$13,$D66-Dashboard!$E$13,IF($D66="","","Target 4 ACHIEVED!"))))</f>
        <v/>
      </c>
      <c r="X66" s="137" t="str">
        <f t="shared" si="71"/>
        <v/>
      </c>
      <c r="Y66" s="137" t="str">
        <f>IF(ISERROR(D66),"",IF(Dashboard!$E$14="","",IF($D66&gt;Dashboard!$E$14,$D66-Dashboard!$E$14,IF($D66="","","Target ACHIEVED!"))))</f>
        <v/>
      </c>
      <c r="Z66" s="137" t="str">
        <f t="shared" si="72"/>
        <v/>
      </c>
      <c r="AA66" s="153" t="str">
        <f t="shared" si="73"/>
        <v/>
      </c>
    </row>
    <row r="67" spans="1:27" x14ac:dyDescent="0.2">
      <c r="A67" s="139" t="str">
        <f t="shared" si="62"/>
        <v/>
      </c>
      <c r="B67" s="140"/>
      <c r="C67" s="140"/>
      <c r="D67" s="141" t="e">
        <f t="shared" si="63"/>
        <v>#N/A</v>
      </c>
      <c r="E67" s="141" t="str">
        <f t="shared" si="64"/>
        <v/>
      </c>
      <c r="F67" s="141" t="str">
        <f>IF(Dashboard!$E$9="","",Dashboard!$E$9)</f>
        <v/>
      </c>
      <c r="G67" s="141" t="str">
        <f>IF(Dashboard!$E$10="","",Dashboard!$E$10)</f>
        <v/>
      </c>
      <c r="H67" s="141" t="str">
        <f>IF(Dashboard!$E$11="","",Dashboard!$E$11)</f>
        <v/>
      </c>
      <c r="I67" s="141" t="str">
        <f>IF(Dashboard!$E$12="","",Dashboard!$E$12)</f>
        <v/>
      </c>
      <c r="J67" s="141" t="str">
        <f>IF(Dashboard!$E$13="","",Dashboard!$E$13)</f>
        <v/>
      </c>
      <c r="K67" s="141" t="str">
        <f>IF(Dashboard!$E$14="","",Dashboard!$E$14)</f>
        <v/>
      </c>
      <c r="L67" s="141" t="str">
        <f t="shared" si="65"/>
        <v/>
      </c>
      <c r="M67" s="141" t="str">
        <f t="shared" si="66"/>
        <v/>
      </c>
      <c r="N67" s="142" t="str">
        <f>IF(ISERROR(D67),"",(D67*703)/(Dashboard!$E$6*Dashboard!$E$6))</f>
        <v/>
      </c>
      <c r="O67" s="141" t="str">
        <f>IF(ISERROR(D67),"",IF(D67&lt;=Dashboard!$P$5,"Club10 Achieved!",(Dashboard!$P$5-D67)*-1))</f>
        <v/>
      </c>
      <c r="P67" s="141" t="str">
        <f t="shared" si="67"/>
        <v/>
      </c>
      <c r="Q67" s="141" t="str">
        <f>IF(Dashboard!$E$10="","",IF(ISERROR(D67),"",IF($D67&gt;Dashboard!$E$10,$D67-Dashboard!$E$10,IF($D67="","","Target 1 ACHIEVED!"))))</f>
        <v/>
      </c>
      <c r="R67" s="141" t="str">
        <f t="shared" si="68"/>
        <v/>
      </c>
      <c r="S67" s="141" t="str">
        <f>IF(ISERROR(D67),"",IF(Dashboard!$E$11="","",IF($D67&gt;Dashboard!$E$11,$D67-Dashboard!$E$11,IF($D67="","","Target 2 ACHIEVED!"))))</f>
        <v/>
      </c>
      <c r="T67" s="141" t="str">
        <f t="shared" si="69"/>
        <v/>
      </c>
      <c r="U67" s="141" t="str">
        <f>IF(Dashboard!$E$12="","",IF(ISERROR(D67),"",IF($D67&gt;Dashboard!$E$12,$D67-Dashboard!$E$12,IF($D67="","","Target 3 ACHIEVED!"))))</f>
        <v/>
      </c>
      <c r="V67" s="141" t="str">
        <f t="shared" si="70"/>
        <v/>
      </c>
      <c r="W67" s="141" t="str">
        <f>IF(Dashboard!$E$13="","",IF(ISERROR(D67),"",IF($D67&gt;Dashboard!$E$13,$D67-Dashboard!$E$13,IF($D67="","","Target 4 ACHIEVED!"))))</f>
        <v/>
      </c>
      <c r="X67" s="141" t="str">
        <f t="shared" si="71"/>
        <v/>
      </c>
      <c r="Y67" s="141" t="str">
        <f>IF(ISERROR(D67),"",IF(Dashboard!$E$14="","",IF($D67&gt;Dashboard!$E$14,$D67-Dashboard!$E$14,IF($D67="","","Target ACHIEVED!"))))</f>
        <v/>
      </c>
      <c r="Z67" s="141" t="str">
        <f t="shared" si="72"/>
        <v/>
      </c>
      <c r="AA67" s="154" t="str">
        <f t="shared" si="73"/>
        <v/>
      </c>
    </row>
    <row r="68" spans="1:27" x14ac:dyDescent="0.2">
      <c r="A68" s="144" t="str">
        <f t="shared" si="62"/>
        <v/>
      </c>
      <c r="B68" s="145"/>
      <c r="C68" s="145"/>
      <c r="D68" s="146" t="e">
        <f t="shared" si="63"/>
        <v>#N/A</v>
      </c>
      <c r="E68" s="146" t="str">
        <f t="shared" si="64"/>
        <v/>
      </c>
      <c r="F68" s="146" t="str">
        <f>IF(Dashboard!$E$9="","",Dashboard!$E$9)</f>
        <v/>
      </c>
      <c r="G68" s="146" t="str">
        <f>IF(Dashboard!$E$10="","",Dashboard!$E$10)</f>
        <v/>
      </c>
      <c r="H68" s="146" t="str">
        <f>IF(Dashboard!$E$11="","",Dashboard!$E$11)</f>
        <v/>
      </c>
      <c r="I68" s="146" t="str">
        <f>IF(Dashboard!$E$12="","",Dashboard!$E$12)</f>
        <v/>
      </c>
      <c r="J68" s="146" t="str">
        <f>IF(Dashboard!$E$13="","",Dashboard!$E$13)</f>
        <v/>
      </c>
      <c r="K68" s="146" t="str">
        <f>IF(Dashboard!$E$14="","",Dashboard!$E$14)</f>
        <v/>
      </c>
      <c r="L68" s="146" t="str">
        <f t="shared" si="65"/>
        <v/>
      </c>
      <c r="M68" s="146" t="str">
        <f t="shared" si="66"/>
        <v/>
      </c>
      <c r="N68" s="147" t="str">
        <f>IF(ISERROR(D68),"",(D68*703)/(Dashboard!$E$6*Dashboard!$E$6))</f>
        <v/>
      </c>
      <c r="O68" s="146" t="str">
        <f>IF(ISERROR(D68),"",IF(D68&lt;=Dashboard!$P$5,"Club10 Achieved!",(Dashboard!$P$5-D68)*-1))</f>
        <v/>
      </c>
      <c r="P68" s="146" t="str">
        <f t="shared" si="67"/>
        <v/>
      </c>
      <c r="Q68" s="146" t="str">
        <f>IF(Dashboard!$E$10="","",IF(ISERROR(D68),"",IF($D68&gt;Dashboard!$E$10,$D68-Dashboard!$E$10,IF($D68="","","Target 1 ACHIEVED!"))))</f>
        <v/>
      </c>
      <c r="R68" s="146" t="str">
        <f t="shared" si="68"/>
        <v/>
      </c>
      <c r="S68" s="146" t="str">
        <f>IF(ISERROR(D68),"",IF(Dashboard!$E$11="","",IF($D68&gt;Dashboard!$E$11,$D68-Dashboard!$E$11,IF($D68="","","Target 2 ACHIEVED!"))))</f>
        <v/>
      </c>
      <c r="T68" s="146" t="str">
        <f t="shared" si="69"/>
        <v/>
      </c>
      <c r="U68" s="146" t="str">
        <f>IF(Dashboard!$E$12="","",IF(ISERROR(D68),"",IF($D68&gt;Dashboard!$E$12,$D68-Dashboard!$E$12,IF($D68="","","Target 3 ACHIEVED!"))))</f>
        <v/>
      </c>
      <c r="V68" s="146" t="str">
        <f t="shared" si="70"/>
        <v/>
      </c>
      <c r="W68" s="146" t="str">
        <f>IF(Dashboard!$E$13="","",IF(ISERROR(D68),"",IF($D68&gt;Dashboard!$E$13,$D68-Dashboard!$E$13,IF($D68="","","Target 4 ACHIEVED!"))))</f>
        <v/>
      </c>
      <c r="X68" s="146" t="str">
        <f t="shared" si="71"/>
        <v/>
      </c>
      <c r="Y68" s="146" t="str">
        <f>IF(ISERROR(D68),"",IF(Dashboard!$E$14="","",IF($D68&gt;Dashboard!$E$14,$D68-Dashboard!$E$14,IF($D68="","","Target ACHIEVED!"))))</f>
        <v/>
      </c>
      <c r="Z68" s="146" t="str">
        <f t="shared" si="72"/>
        <v/>
      </c>
      <c r="AA68" s="155" t="str">
        <f t="shared" si="73"/>
        <v/>
      </c>
    </row>
    <row r="69" spans="1:27" x14ac:dyDescent="0.2">
      <c r="A69" s="139" t="str">
        <f t="shared" ref="A69:A76" si="74">IF(ISERROR(D69),"",A68+7)</f>
        <v/>
      </c>
      <c r="B69" s="140"/>
      <c r="C69" s="140"/>
      <c r="D69" s="141" t="e">
        <f t="shared" ref="D69:D76" si="75">IF(B69="",NA(),(B69*14)+C69)</f>
        <v>#N/A</v>
      </c>
      <c r="E69" s="141" t="str">
        <f t="shared" ref="E69:E76" si="76">IF(ISERROR(D69),"",D69)</f>
        <v/>
      </c>
      <c r="F69" s="141" t="str">
        <f>IF(Dashboard!$E$9="","",Dashboard!$E$9)</f>
        <v/>
      </c>
      <c r="G69" s="141" t="str">
        <f>IF(Dashboard!$E$10="","",Dashboard!$E$10)</f>
        <v/>
      </c>
      <c r="H69" s="141" t="str">
        <f>IF(Dashboard!$E$11="","",Dashboard!$E$11)</f>
        <v/>
      </c>
      <c r="I69" s="141" t="str">
        <f>IF(Dashboard!$E$12="","",Dashboard!$E$12)</f>
        <v/>
      </c>
      <c r="J69" s="141" t="str">
        <f>IF(Dashboard!$E$13="","",Dashboard!$E$13)</f>
        <v/>
      </c>
      <c r="K69" s="141" t="str">
        <f>IF(Dashboard!$E$14="","",Dashboard!$E$14)</f>
        <v/>
      </c>
      <c r="L69" s="141" t="str">
        <f t="shared" ref="L69:L76" si="77">IF(ISERROR(D69),"",D69-D68)</f>
        <v/>
      </c>
      <c r="M69" s="141" t="str">
        <f t="shared" ref="M69:M76" si="78">IF(B69="","",$D$2-D69)</f>
        <v/>
      </c>
      <c r="N69" s="142" t="str">
        <f>IF(ISERROR(D69),"",(D69*703)/(Dashboard!$E$6*Dashboard!$E$6))</f>
        <v/>
      </c>
      <c r="O69" s="141" t="str">
        <f>IF(ISERROR(D69),"",IF(D69&lt;=Dashboard!$P$5,"Club10 Achieved!",(Dashboard!$P$5-D69)*-1))</f>
        <v/>
      </c>
      <c r="P69" s="141" t="str">
        <f t="shared" ref="P69:P76" si="79">IF(O69="","",IF(O69="Club10 Achieved!","Club10 Achieved!",CONCATENATE(ROUNDDOWN(O69/14,0)," st ",MOD(O69,14)," lbs")))</f>
        <v/>
      </c>
      <c r="Q69" s="141" t="str">
        <f>IF(Dashboard!$E$10="","",IF(ISERROR(D69),"",IF($D69&gt;Dashboard!$E$10,$D69-Dashboard!$E$10,IF($D69="","","Target 1 ACHIEVED!"))))</f>
        <v/>
      </c>
      <c r="R69" s="141" t="str">
        <f t="shared" ref="R69:R76" si="80">IF(Q69="","",IF(Q69="Target 1 ACHIEVED!","Target 1 ACHIEVED!",CONCATENATE(ROUNDDOWN(Q69/14,0)," st ",MOD(Q69,14)," lbs")))</f>
        <v/>
      </c>
      <c r="S69" s="141" t="str">
        <f>IF(ISERROR(D69),"",IF(Dashboard!$E$11="","",IF($D69&gt;Dashboard!$E$11,$D69-Dashboard!$E$11,IF($D69="","","Target 2 ACHIEVED!"))))</f>
        <v/>
      </c>
      <c r="T69" s="141" t="str">
        <f t="shared" ref="T69:T76" si="81">IF(S69="","",IF(S69="Target 2 ACHIEVED!","Target 2 ACHIEVED!",CONCATENATE(ROUNDDOWN(S69/14,0)," st ",MOD(S69,14)," lbs")))</f>
        <v/>
      </c>
      <c r="U69" s="141" t="str">
        <f>IF(Dashboard!$E$12="","",IF(ISERROR(D69),"",IF($D69&gt;Dashboard!$E$12,$D69-Dashboard!$E$12,IF($D69="","","Target 3 ACHIEVED!"))))</f>
        <v/>
      </c>
      <c r="V69" s="141" t="str">
        <f t="shared" ref="V69:V76" si="82">IF(U69="","",IF(U69="Target 3 ACHIEVED!","Target 3 ACHIEVED!",CONCATENATE(ROUNDDOWN(U69/14,0)," st ",MOD(U69,14)," lbs")))</f>
        <v/>
      </c>
      <c r="W69" s="141" t="str">
        <f>IF(Dashboard!$E$13="","",IF(ISERROR(D69),"",IF($D69&gt;Dashboard!$E$13,$D69-Dashboard!$E$13,IF($D69="","","Target 4 ACHIEVED!"))))</f>
        <v/>
      </c>
      <c r="X69" s="141" t="str">
        <f t="shared" ref="X69:X76" si="83">IF(W69="","",IF(W69="Target 4 ACHIEVED!","Target 4 ACHIEVED!",CONCATENATE(ROUNDDOWN(W69/14,0)," st ",MOD(W69,14)," lbs")))</f>
        <v/>
      </c>
      <c r="Y69" s="141" t="str">
        <f>IF(ISERROR(D69),"",IF(Dashboard!$E$14="","",IF($D69&gt;Dashboard!$E$14,$D69-Dashboard!$E$14,IF($D69="","","Target ACHIEVED!"))))</f>
        <v/>
      </c>
      <c r="Z69" s="141" t="str">
        <f t="shared" ref="Z69:Z76" si="84">IF(Y69="","",IF(Y69="Target ACHIEVED!","Target ACHIEVED!",CONCATENATE(ROUNDDOWN(Y69/14,0)," st ",MOD(Y69,14)," lbs")))</f>
        <v/>
      </c>
      <c r="AA69" s="154" t="str">
        <f t="shared" ref="AA69:AA76" si="85">IF((AND(M69&lt;=202.5,M69&gt;=196)),"14 STONE",
 IF((AND(M69&lt;=195.5,M69&gt;=189)),"13.5 STONE",
 IF((AND(M69&lt;=188.5,M69&gt;=182)),"13 STONE",
 IF((AND(M69&lt;=181.5,M69&gt;=175)),"12.5 STONE",
 IF((AND(M69&lt;=174.5,M69&gt;=168)),"12 STONE",
 IF((AND(M69&lt;=167.5,M69&gt;=161)),"11.5 STONE",
 IF((AND(M69&lt;=160.5,M69&gt;=154)),"11 STONE",
 IF((AND(M69&lt;=153.5,M69&gt;=147)),"10.5 STONE",
 IF((AND(M69&lt;=146.5,M69&gt;=140)),"10 STONE",
 IF((AND(M69&lt;=139.5,M69&gt;=133)),"9.5 STONE",
 IF((AND(M69&lt;=132.5,M69&gt;=126)),"9 STONE",
 IF((AND(M69&lt;=125.5,M69&gt;=119)),"8.5 STONE",
 IF((AND(M69&lt;=118.5,M69&gt;=112)),"8 STONE",
 IF((AND(M69&lt;=111.5,M69&gt;=105)),"7.5 STONE",
 IF((AND(M69&lt;=104.5,M69&gt;=98)),"7 STONE",
 IF((AND(M69&lt;=97.5,M69&gt;=91)),"6.5 STONE",
 IF((AND(M69&lt;=90.5,M69&gt;=84)),"6 STONE",
 IF((AND(M69&lt;=83.5,M69&gt;=77)),"5.5 STONE",
 IF((AND(M69&lt;=76.5,M69&gt;=70)),"5 STONE",
 IF((AND(M69&lt;=69.5,M69&gt;=63)),"4.5 STONE",
 IF((AND(M69&lt;=62.5,M69&gt;=56)),"4 STONE",
 IF((AND(M69&lt;=55.5,M69&gt;=49)),"3.5 STONE",
 IF((AND(M69&lt;=48.5,M69&gt;=42)),"3 STONE",
 IF((AND(M69&lt;=41.5,M69&gt;=35)),"2.5 STONE",
 IF((AND(M69&lt;=34.5,M69&gt;=28)),"2 STONE",
 IF((AND(M69&lt;=27.5,M69&gt;=21)),"1.5 STONE",
 IF((AND(M69&lt;=20.5,M69&gt;=14)),"1 STONE",
 IF((AND(M69&lt;=13.5,M69&gt;=7)),"0.5 STONE",
 IF((AND(M69&lt;=6.5,M69&gt;=0)),"",
 "")))))))))))))))))))))))))))))</f>
        <v/>
      </c>
    </row>
    <row r="70" spans="1:27" x14ac:dyDescent="0.2">
      <c r="A70" s="135" t="str">
        <f t="shared" si="74"/>
        <v/>
      </c>
      <c r="B70" s="136"/>
      <c r="C70" s="136"/>
      <c r="D70" s="137" t="e">
        <f t="shared" si="75"/>
        <v>#N/A</v>
      </c>
      <c r="E70" s="137" t="str">
        <f t="shared" si="76"/>
        <v/>
      </c>
      <c r="F70" s="137" t="str">
        <f>IF(Dashboard!$E$9="","",Dashboard!$E$9)</f>
        <v/>
      </c>
      <c r="G70" s="137" t="str">
        <f>IF(Dashboard!$E$10="","",Dashboard!$E$10)</f>
        <v/>
      </c>
      <c r="H70" s="137" t="str">
        <f>IF(Dashboard!$E$11="","",Dashboard!$E$11)</f>
        <v/>
      </c>
      <c r="I70" s="137" t="str">
        <f>IF(Dashboard!$E$12="","",Dashboard!$E$12)</f>
        <v/>
      </c>
      <c r="J70" s="137" t="str">
        <f>IF(Dashboard!$E$13="","",Dashboard!$E$13)</f>
        <v/>
      </c>
      <c r="K70" s="137" t="str">
        <f>IF(Dashboard!$E$14="","",Dashboard!$E$14)</f>
        <v/>
      </c>
      <c r="L70" s="137" t="str">
        <f t="shared" si="77"/>
        <v/>
      </c>
      <c r="M70" s="137" t="str">
        <f t="shared" si="78"/>
        <v/>
      </c>
      <c r="N70" s="138" t="str">
        <f>IF(ISERROR(D70),"",(D70*703)/(Dashboard!$E$6*Dashboard!$E$6))</f>
        <v/>
      </c>
      <c r="O70" s="137" t="str">
        <f>IF(ISERROR(D70),"",IF(D70&lt;=Dashboard!$P$5,"Club10 Achieved!",(Dashboard!$P$5-D70)*-1))</f>
        <v/>
      </c>
      <c r="P70" s="137" t="str">
        <f t="shared" si="79"/>
        <v/>
      </c>
      <c r="Q70" s="137" t="str">
        <f>IF(Dashboard!$E$10="","",IF(ISERROR(D70),"",IF($D70&gt;Dashboard!$E$10,$D70-Dashboard!$E$10,IF($D70="","","Target 1 ACHIEVED!"))))</f>
        <v/>
      </c>
      <c r="R70" s="137" t="str">
        <f t="shared" si="80"/>
        <v/>
      </c>
      <c r="S70" s="137" t="str">
        <f>IF(ISERROR(D70),"",IF(Dashboard!$E$11="","",IF($D70&gt;Dashboard!$E$11,$D70-Dashboard!$E$11,IF($D70="","","Target 2 ACHIEVED!"))))</f>
        <v/>
      </c>
      <c r="T70" s="137" t="str">
        <f t="shared" si="81"/>
        <v/>
      </c>
      <c r="U70" s="137" t="str">
        <f>IF(Dashboard!$E$12="","",IF(ISERROR(D70),"",IF($D70&gt;Dashboard!$E$12,$D70-Dashboard!$E$12,IF($D70="","","Target 3 ACHIEVED!"))))</f>
        <v/>
      </c>
      <c r="V70" s="137" t="str">
        <f t="shared" si="82"/>
        <v/>
      </c>
      <c r="W70" s="137" t="str">
        <f>IF(Dashboard!$E$13="","",IF(ISERROR(D70),"",IF($D70&gt;Dashboard!$E$13,$D70-Dashboard!$E$13,IF($D70="","","Target 4 ACHIEVED!"))))</f>
        <v/>
      </c>
      <c r="X70" s="137" t="str">
        <f t="shared" si="83"/>
        <v/>
      </c>
      <c r="Y70" s="137" t="str">
        <f>IF(ISERROR(D70),"",IF(Dashboard!$E$14="","",IF($D70&gt;Dashboard!$E$14,$D70-Dashboard!$E$14,IF($D70="","","Target ACHIEVED!"))))</f>
        <v/>
      </c>
      <c r="Z70" s="137" t="str">
        <f t="shared" si="84"/>
        <v/>
      </c>
      <c r="AA70" s="153" t="str">
        <f t="shared" si="85"/>
        <v/>
      </c>
    </row>
    <row r="71" spans="1:27" x14ac:dyDescent="0.2">
      <c r="A71" s="139" t="str">
        <f t="shared" si="74"/>
        <v/>
      </c>
      <c r="B71" s="140"/>
      <c r="C71" s="140"/>
      <c r="D71" s="141" t="e">
        <f t="shared" si="75"/>
        <v>#N/A</v>
      </c>
      <c r="E71" s="141" t="str">
        <f t="shared" si="76"/>
        <v/>
      </c>
      <c r="F71" s="141" t="str">
        <f>IF(Dashboard!$E$9="","",Dashboard!$E$9)</f>
        <v/>
      </c>
      <c r="G71" s="141" t="str">
        <f>IF(Dashboard!$E$10="","",Dashboard!$E$10)</f>
        <v/>
      </c>
      <c r="H71" s="141" t="str">
        <f>IF(Dashboard!$E$11="","",Dashboard!$E$11)</f>
        <v/>
      </c>
      <c r="I71" s="141" t="str">
        <f>IF(Dashboard!$E$12="","",Dashboard!$E$12)</f>
        <v/>
      </c>
      <c r="J71" s="141" t="str">
        <f>IF(Dashboard!$E$13="","",Dashboard!$E$13)</f>
        <v/>
      </c>
      <c r="K71" s="141" t="str">
        <f>IF(Dashboard!$E$14="","",Dashboard!$E$14)</f>
        <v/>
      </c>
      <c r="L71" s="141" t="str">
        <f t="shared" si="77"/>
        <v/>
      </c>
      <c r="M71" s="141" t="str">
        <f t="shared" si="78"/>
        <v/>
      </c>
      <c r="N71" s="142" t="str">
        <f>IF(ISERROR(D71),"",(D71*703)/(Dashboard!$E$6*Dashboard!$E$6))</f>
        <v/>
      </c>
      <c r="O71" s="141" t="str">
        <f>IF(ISERROR(D71),"",IF(D71&lt;=Dashboard!$P$5,"Club10 Achieved!",(Dashboard!$P$5-D71)*-1))</f>
        <v/>
      </c>
      <c r="P71" s="141" t="str">
        <f t="shared" si="79"/>
        <v/>
      </c>
      <c r="Q71" s="141" t="str">
        <f>IF(Dashboard!$E$10="","",IF(ISERROR(D71),"",IF($D71&gt;Dashboard!$E$10,$D71-Dashboard!$E$10,IF($D71="","","Target 1 ACHIEVED!"))))</f>
        <v/>
      </c>
      <c r="R71" s="141" t="str">
        <f t="shared" si="80"/>
        <v/>
      </c>
      <c r="S71" s="141" t="str">
        <f>IF(ISERROR(D71),"",IF(Dashboard!$E$11="","",IF($D71&gt;Dashboard!$E$11,$D71-Dashboard!$E$11,IF($D71="","","Target 2 ACHIEVED!"))))</f>
        <v/>
      </c>
      <c r="T71" s="141" t="str">
        <f t="shared" si="81"/>
        <v/>
      </c>
      <c r="U71" s="141" t="str">
        <f>IF(Dashboard!$E$12="","",IF(ISERROR(D71),"",IF($D71&gt;Dashboard!$E$12,$D71-Dashboard!$E$12,IF($D71="","","Target 3 ACHIEVED!"))))</f>
        <v/>
      </c>
      <c r="V71" s="141" t="str">
        <f t="shared" si="82"/>
        <v/>
      </c>
      <c r="W71" s="141" t="str">
        <f>IF(Dashboard!$E$13="","",IF(ISERROR(D71),"",IF($D71&gt;Dashboard!$E$13,$D71-Dashboard!$E$13,IF($D71="","","Target 4 ACHIEVED!"))))</f>
        <v/>
      </c>
      <c r="X71" s="141" t="str">
        <f t="shared" si="83"/>
        <v/>
      </c>
      <c r="Y71" s="141" t="str">
        <f>IF(ISERROR(D71),"",IF(Dashboard!$E$14="","",IF($D71&gt;Dashboard!$E$14,$D71-Dashboard!$E$14,IF($D71="","","Target ACHIEVED!"))))</f>
        <v/>
      </c>
      <c r="Z71" s="141" t="str">
        <f t="shared" si="84"/>
        <v/>
      </c>
      <c r="AA71" s="154" t="str">
        <f t="shared" si="85"/>
        <v/>
      </c>
    </row>
    <row r="72" spans="1:27" x14ac:dyDescent="0.2">
      <c r="A72" s="135" t="str">
        <f t="shared" si="74"/>
        <v/>
      </c>
      <c r="B72" s="136"/>
      <c r="C72" s="136"/>
      <c r="D72" s="137" t="e">
        <f t="shared" si="75"/>
        <v>#N/A</v>
      </c>
      <c r="E72" s="137" t="str">
        <f t="shared" si="76"/>
        <v/>
      </c>
      <c r="F72" s="137" t="str">
        <f>IF(Dashboard!$E$9="","",Dashboard!$E$9)</f>
        <v/>
      </c>
      <c r="G72" s="137" t="str">
        <f>IF(Dashboard!$E$10="","",Dashboard!$E$10)</f>
        <v/>
      </c>
      <c r="H72" s="137" t="str">
        <f>IF(Dashboard!$E$11="","",Dashboard!$E$11)</f>
        <v/>
      </c>
      <c r="I72" s="137" t="str">
        <f>IF(Dashboard!$E$12="","",Dashboard!$E$12)</f>
        <v/>
      </c>
      <c r="J72" s="137" t="str">
        <f>IF(Dashboard!$E$13="","",Dashboard!$E$13)</f>
        <v/>
      </c>
      <c r="K72" s="137" t="str">
        <f>IF(Dashboard!$E$14="","",Dashboard!$E$14)</f>
        <v/>
      </c>
      <c r="L72" s="137" t="str">
        <f t="shared" si="77"/>
        <v/>
      </c>
      <c r="M72" s="137" t="str">
        <f t="shared" si="78"/>
        <v/>
      </c>
      <c r="N72" s="138" t="str">
        <f>IF(ISERROR(D72),"",(D72*703)/(Dashboard!$E$6*Dashboard!$E$6))</f>
        <v/>
      </c>
      <c r="O72" s="137" t="str">
        <f>IF(ISERROR(D72),"",IF(D72&lt;=Dashboard!$P$5,"Club10 Achieved!",(Dashboard!$P$5-D72)*-1))</f>
        <v/>
      </c>
      <c r="P72" s="137" t="str">
        <f t="shared" si="79"/>
        <v/>
      </c>
      <c r="Q72" s="137" t="str">
        <f>IF(Dashboard!$E$10="","",IF(ISERROR(D72),"",IF($D72&gt;Dashboard!$E$10,$D72-Dashboard!$E$10,IF($D72="","","Target 1 ACHIEVED!"))))</f>
        <v/>
      </c>
      <c r="R72" s="137" t="str">
        <f t="shared" si="80"/>
        <v/>
      </c>
      <c r="S72" s="137" t="str">
        <f>IF(ISERROR(D72),"",IF(Dashboard!$E$11="","",IF($D72&gt;Dashboard!$E$11,$D72-Dashboard!$E$11,IF($D72="","","Target 2 ACHIEVED!"))))</f>
        <v/>
      </c>
      <c r="T72" s="137" t="str">
        <f t="shared" si="81"/>
        <v/>
      </c>
      <c r="U72" s="137" t="str">
        <f>IF(Dashboard!$E$12="","",IF(ISERROR(D72),"",IF($D72&gt;Dashboard!$E$12,$D72-Dashboard!$E$12,IF($D72="","","Target 3 ACHIEVED!"))))</f>
        <v/>
      </c>
      <c r="V72" s="137" t="str">
        <f t="shared" si="82"/>
        <v/>
      </c>
      <c r="W72" s="137" t="str">
        <f>IF(Dashboard!$E$13="","",IF(ISERROR(D72),"",IF($D72&gt;Dashboard!$E$13,$D72-Dashboard!$E$13,IF($D72="","","Target 4 ACHIEVED!"))))</f>
        <v/>
      </c>
      <c r="X72" s="137" t="str">
        <f t="shared" si="83"/>
        <v/>
      </c>
      <c r="Y72" s="137" t="str">
        <f>IF(ISERROR(D72),"",IF(Dashboard!$E$14="","",IF($D72&gt;Dashboard!$E$14,$D72-Dashboard!$E$14,IF($D72="","","Target ACHIEVED!"))))</f>
        <v/>
      </c>
      <c r="Z72" s="137" t="str">
        <f t="shared" si="84"/>
        <v/>
      </c>
      <c r="AA72" s="153" t="str">
        <f t="shared" si="85"/>
        <v/>
      </c>
    </row>
    <row r="73" spans="1:27" x14ac:dyDescent="0.2">
      <c r="A73" s="139" t="str">
        <f t="shared" si="74"/>
        <v/>
      </c>
      <c r="B73" s="140"/>
      <c r="C73" s="140"/>
      <c r="D73" s="141" t="e">
        <f t="shared" si="75"/>
        <v>#N/A</v>
      </c>
      <c r="E73" s="141" t="str">
        <f t="shared" si="76"/>
        <v/>
      </c>
      <c r="F73" s="141" t="str">
        <f>IF(Dashboard!$E$9="","",Dashboard!$E$9)</f>
        <v/>
      </c>
      <c r="G73" s="141" t="str">
        <f>IF(Dashboard!$E$10="","",Dashboard!$E$10)</f>
        <v/>
      </c>
      <c r="H73" s="141" t="str">
        <f>IF(Dashboard!$E$11="","",Dashboard!$E$11)</f>
        <v/>
      </c>
      <c r="I73" s="141" t="str">
        <f>IF(Dashboard!$E$12="","",Dashboard!$E$12)</f>
        <v/>
      </c>
      <c r="J73" s="141" t="str">
        <f>IF(Dashboard!$E$13="","",Dashboard!$E$13)</f>
        <v/>
      </c>
      <c r="K73" s="141" t="str">
        <f>IF(Dashboard!$E$14="","",Dashboard!$E$14)</f>
        <v/>
      </c>
      <c r="L73" s="141" t="str">
        <f t="shared" si="77"/>
        <v/>
      </c>
      <c r="M73" s="141" t="str">
        <f t="shared" si="78"/>
        <v/>
      </c>
      <c r="N73" s="142" t="str">
        <f>IF(ISERROR(D73),"",(D73*703)/(Dashboard!$E$6*Dashboard!$E$6))</f>
        <v/>
      </c>
      <c r="O73" s="141" t="str">
        <f>IF(ISERROR(D73),"",IF(D73&lt;=Dashboard!$P$5,"Club10 Achieved!",(Dashboard!$P$5-D73)*-1))</f>
        <v/>
      </c>
      <c r="P73" s="141" t="str">
        <f t="shared" si="79"/>
        <v/>
      </c>
      <c r="Q73" s="141" t="str">
        <f>IF(Dashboard!$E$10="","",IF(ISERROR(D73),"",IF($D73&gt;Dashboard!$E$10,$D73-Dashboard!$E$10,IF($D73="","","Target 1 ACHIEVED!"))))</f>
        <v/>
      </c>
      <c r="R73" s="141" t="str">
        <f t="shared" si="80"/>
        <v/>
      </c>
      <c r="S73" s="141" t="str">
        <f>IF(ISERROR(D73),"",IF(Dashboard!$E$11="","",IF($D73&gt;Dashboard!$E$11,$D73-Dashboard!$E$11,IF($D73="","","Target 2 ACHIEVED!"))))</f>
        <v/>
      </c>
      <c r="T73" s="141" t="str">
        <f t="shared" si="81"/>
        <v/>
      </c>
      <c r="U73" s="141" t="str">
        <f>IF(Dashboard!$E$12="","",IF(ISERROR(D73),"",IF($D73&gt;Dashboard!$E$12,$D73-Dashboard!$E$12,IF($D73="","","Target 3 ACHIEVED!"))))</f>
        <v/>
      </c>
      <c r="V73" s="141" t="str">
        <f t="shared" si="82"/>
        <v/>
      </c>
      <c r="W73" s="141" t="str">
        <f>IF(Dashboard!$E$13="","",IF(ISERROR(D73),"",IF($D73&gt;Dashboard!$E$13,$D73-Dashboard!$E$13,IF($D73="","","Target 4 ACHIEVED!"))))</f>
        <v/>
      </c>
      <c r="X73" s="141" t="str">
        <f t="shared" si="83"/>
        <v/>
      </c>
      <c r="Y73" s="141" t="str">
        <f>IF(ISERROR(D73),"",IF(Dashboard!$E$14="","",IF($D73&gt;Dashboard!$E$14,$D73-Dashboard!$E$14,IF($D73="","","Target ACHIEVED!"))))</f>
        <v/>
      </c>
      <c r="Z73" s="141" t="str">
        <f t="shared" si="84"/>
        <v/>
      </c>
      <c r="AA73" s="154" t="str">
        <f t="shared" si="85"/>
        <v/>
      </c>
    </row>
    <row r="74" spans="1:27" x14ac:dyDescent="0.2">
      <c r="A74" s="135" t="str">
        <f t="shared" si="74"/>
        <v/>
      </c>
      <c r="B74" s="136"/>
      <c r="C74" s="136"/>
      <c r="D74" s="137" t="e">
        <f t="shared" si="75"/>
        <v>#N/A</v>
      </c>
      <c r="E74" s="137" t="str">
        <f t="shared" si="76"/>
        <v/>
      </c>
      <c r="F74" s="137" t="str">
        <f>IF(Dashboard!$E$9="","",Dashboard!$E$9)</f>
        <v/>
      </c>
      <c r="G74" s="137" t="str">
        <f>IF(Dashboard!$E$10="","",Dashboard!$E$10)</f>
        <v/>
      </c>
      <c r="H74" s="137" t="str">
        <f>IF(Dashboard!$E$11="","",Dashboard!$E$11)</f>
        <v/>
      </c>
      <c r="I74" s="137" t="str">
        <f>IF(Dashboard!$E$12="","",Dashboard!$E$12)</f>
        <v/>
      </c>
      <c r="J74" s="137" t="str">
        <f>IF(Dashboard!$E$13="","",Dashboard!$E$13)</f>
        <v/>
      </c>
      <c r="K74" s="137" t="str">
        <f>IF(Dashboard!$E$14="","",Dashboard!$E$14)</f>
        <v/>
      </c>
      <c r="L74" s="137" t="str">
        <f t="shared" si="77"/>
        <v/>
      </c>
      <c r="M74" s="137" t="str">
        <f t="shared" si="78"/>
        <v/>
      </c>
      <c r="N74" s="138" t="str">
        <f>IF(ISERROR(D74),"",(D74*703)/(Dashboard!$E$6*Dashboard!$E$6))</f>
        <v/>
      </c>
      <c r="O74" s="137" t="str">
        <f>IF(ISERROR(D74),"",IF(D74&lt;=Dashboard!$P$5,"Club10 Achieved!",(Dashboard!$P$5-D74)*-1))</f>
        <v/>
      </c>
      <c r="P74" s="137" t="str">
        <f t="shared" si="79"/>
        <v/>
      </c>
      <c r="Q74" s="137" t="str">
        <f>IF(Dashboard!$E$10="","",IF(ISERROR(D74),"",IF($D74&gt;Dashboard!$E$10,$D74-Dashboard!$E$10,IF($D74="","","Target 1 ACHIEVED!"))))</f>
        <v/>
      </c>
      <c r="R74" s="137" t="str">
        <f t="shared" si="80"/>
        <v/>
      </c>
      <c r="S74" s="137" t="str">
        <f>IF(ISERROR(D74),"",IF(Dashboard!$E$11="","",IF($D74&gt;Dashboard!$E$11,$D74-Dashboard!$E$11,IF($D74="","","Target 2 ACHIEVED!"))))</f>
        <v/>
      </c>
      <c r="T74" s="137" t="str">
        <f t="shared" si="81"/>
        <v/>
      </c>
      <c r="U74" s="137" t="str">
        <f>IF(Dashboard!$E$12="","",IF(ISERROR(D74),"",IF($D74&gt;Dashboard!$E$12,$D74-Dashboard!$E$12,IF($D74="","","Target 3 ACHIEVED!"))))</f>
        <v/>
      </c>
      <c r="V74" s="137" t="str">
        <f t="shared" si="82"/>
        <v/>
      </c>
      <c r="W74" s="137" t="str">
        <f>IF(Dashboard!$E$13="","",IF(ISERROR(D74),"",IF($D74&gt;Dashboard!$E$13,$D74-Dashboard!$E$13,IF($D74="","","Target 4 ACHIEVED!"))))</f>
        <v/>
      </c>
      <c r="X74" s="137" t="str">
        <f t="shared" si="83"/>
        <v/>
      </c>
      <c r="Y74" s="137" t="str">
        <f>IF(ISERROR(D74),"",IF(Dashboard!$E$14="","",IF($D74&gt;Dashboard!$E$14,$D74-Dashboard!$E$14,IF($D74="","","Target ACHIEVED!"))))</f>
        <v/>
      </c>
      <c r="Z74" s="137" t="str">
        <f t="shared" si="84"/>
        <v/>
      </c>
      <c r="AA74" s="153" t="str">
        <f t="shared" si="85"/>
        <v/>
      </c>
    </row>
    <row r="75" spans="1:27" x14ac:dyDescent="0.2">
      <c r="A75" s="139" t="str">
        <f t="shared" si="74"/>
        <v/>
      </c>
      <c r="B75" s="140"/>
      <c r="C75" s="140"/>
      <c r="D75" s="141" t="e">
        <f t="shared" si="75"/>
        <v>#N/A</v>
      </c>
      <c r="E75" s="141" t="str">
        <f t="shared" si="76"/>
        <v/>
      </c>
      <c r="F75" s="141" t="str">
        <f>IF(Dashboard!$E$9="","",Dashboard!$E$9)</f>
        <v/>
      </c>
      <c r="G75" s="141" t="str">
        <f>IF(Dashboard!$E$10="","",Dashboard!$E$10)</f>
        <v/>
      </c>
      <c r="H75" s="141" t="str">
        <f>IF(Dashboard!$E$11="","",Dashboard!$E$11)</f>
        <v/>
      </c>
      <c r="I75" s="141" t="str">
        <f>IF(Dashboard!$E$12="","",Dashboard!$E$12)</f>
        <v/>
      </c>
      <c r="J75" s="141" t="str">
        <f>IF(Dashboard!$E$13="","",Dashboard!$E$13)</f>
        <v/>
      </c>
      <c r="K75" s="141" t="str">
        <f>IF(Dashboard!$E$14="","",Dashboard!$E$14)</f>
        <v/>
      </c>
      <c r="L75" s="141" t="str">
        <f t="shared" si="77"/>
        <v/>
      </c>
      <c r="M75" s="141" t="str">
        <f t="shared" si="78"/>
        <v/>
      </c>
      <c r="N75" s="142" t="str">
        <f>IF(ISERROR(D75),"",(D75*703)/(Dashboard!$E$6*Dashboard!$E$6))</f>
        <v/>
      </c>
      <c r="O75" s="141" t="str">
        <f>IF(ISERROR(D75),"",IF(D75&lt;=Dashboard!$P$5,"Club10 Achieved!",(Dashboard!$P$5-D75)*-1))</f>
        <v/>
      </c>
      <c r="P75" s="141" t="str">
        <f t="shared" si="79"/>
        <v/>
      </c>
      <c r="Q75" s="141" t="str">
        <f>IF(Dashboard!$E$10="","",IF(ISERROR(D75),"",IF($D75&gt;Dashboard!$E$10,$D75-Dashboard!$E$10,IF($D75="","","Target 1 ACHIEVED!"))))</f>
        <v/>
      </c>
      <c r="R75" s="141" t="str">
        <f t="shared" si="80"/>
        <v/>
      </c>
      <c r="S75" s="141" t="str">
        <f>IF(ISERROR(D75),"",IF(Dashboard!$E$11="","",IF($D75&gt;Dashboard!$E$11,$D75-Dashboard!$E$11,IF($D75="","","Target 2 ACHIEVED!"))))</f>
        <v/>
      </c>
      <c r="T75" s="141" t="str">
        <f t="shared" si="81"/>
        <v/>
      </c>
      <c r="U75" s="141" t="str">
        <f>IF(Dashboard!$E$12="","",IF(ISERROR(D75),"",IF($D75&gt;Dashboard!$E$12,$D75-Dashboard!$E$12,IF($D75="","","Target 3 ACHIEVED!"))))</f>
        <v/>
      </c>
      <c r="V75" s="141" t="str">
        <f t="shared" si="82"/>
        <v/>
      </c>
      <c r="W75" s="141" t="str">
        <f>IF(Dashboard!$E$13="","",IF(ISERROR(D75),"",IF($D75&gt;Dashboard!$E$13,$D75-Dashboard!$E$13,IF($D75="","","Target 4 ACHIEVED!"))))</f>
        <v/>
      </c>
      <c r="X75" s="141" t="str">
        <f t="shared" si="83"/>
        <v/>
      </c>
      <c r="Y75" s="141" t="str">
        <f>IF(ISERROR(D75),"",IF(Dashboard!$E$14="","",IF($D75&gt;Dashboard!$E$14,$D75-Dashboard!$E$14,IF($D75="","","Target ACHIEVED!"))))</f>
        <v/>
      </c>
      <c r="Z75" s="141" t="str">
        <f t="shared" si="84"/>
        <v/>
      </c>
      <c r="AA75" s="154" t="str">
        <f t="shared" si="85"/>
        <v/>
      </c>
    </row>
    <row r="76" spans="1:27" x14ac:dyDescent="0.2">
      <c r="A76" s="144" t="str">
        <f t="shared" si="74"/>
        <v/>
      </c>
      <c r="B76" s="145"/>
      <c r="C76" s="145"/>
      <c r="D76" s="146" t="e">
        <f t="shared" si="75"/>
        <v>#N/A</v>
      </c>
      <c r="E76" s="146" t="str">
        <f t="shared" si="76"/>
        <v/>
      </c>
      <c r="F76" s="146" t="str">
        <f>IF(Dashboard!$E$9="","",Dashboard!$E$9)</f>
        <v/>
      </c>
      <c r="G76" s="146" t="str">
        <f>IF(Dashboard!$E$10="","",Dashboard!$E$10)</f>
        <v/>
      </c>
      <c r="H76" s="146" t="str">
        <f>IF(Dashboard!$E$11="","",Dashboard!$E$11)</f>
        <v/>
      </c>
      <c r="I76" s="146" t="str">
        <f>IF(Dashboard!$E$12="","",Dashboard!$E$12)</f>
        <v/>
      </c>
      <c r="J76" s="146" t="str">
        <f>IF(Dashboard!$E$13="","",Dashboard!$E$13)</f>
        <v/>
      </c>
      <c r="K76" s="146" t="str">
        <f>IF(Dashboard!$E$14="","",Dashboard!$E$14)</f>
        <v/>
      </c>
      <c r="L76" s="146" t="str">
        <f t="shared" si="77"/>
        <v/>
      </c>
      <c r="M76" s="146" t="str">
        <f t="shared" si="78"/>
        <v/>
      </c>
      <c r="N76" s="147" t="str">
        <f>IF(ISERROR(D76),"",(D76*703)/(Dashboard!$E$6*Dashboard!$E$6))</f>
        <v/>
      </c>
      <c r="O76" s="146" t="str">
        <f>IF(ISERROR(D76),"",IF(D76&lt;=Dashboard!$P$5,"Club10 Achieved!",(Dashboard!$P$5-D76)*-1))</f>
        <v/>
      </c>
      <c r="P76" s="146" t="str">
        <f t="shared" si="79"/>
        <v/>
      </c>
      <c r="Q76" s="146" t="str">
        <f>IF(Dashboard!$E$10="","",IF(ISERROR(D76),"",IF($D76&gt;Dashboard!$E$10,$D76-Dashboard!$E$10,IF($D76="","","Target 1 ACHIEVED!"))))</f>
        <v/>
      </c>
      <c r="R76" s="146" t="str">
        <f t="shared" si="80"/>
        <v/>
      </c>
      <c r="S76" s="146" t="str">
        <f>IF(ISERROR(D76),"",IF(Dashboard!$E$11="","",IF($D76&gt;Dashboard!$E$11,$D76-Dashboard!$E$11,IF($D76="","","Target 2 ACHIEVED!"))))</f>
        <v/>
      </c>
      <c r="T76" s="146" t="str">
        <f t="shared" si="81"/>
        <v/>
      </c>
      <c r="U76" s="146" t="str">
        <f>IF(Dashboard!$E$12="","",IF(ISERROR(D76),"",IF($D76&gt;Dashboard!$E$12,$D76-Dashboard!$E$12,IF($D76="","","Target 3 ACHIEVED!"))))</f>
        <v/>
      </c>
      <c r="V76" s="146" t="str">
        <f t="shared" si="82"/>
        <v/>
      </c>
      <c r="W76" s="146" t="str">
        <f>IF(Dashboard!$E$13="","",IF(ISERROR(D76),"",IF($D76&gt;Dashboard!$E$13,$D76-Dashboard!$E$13,IF($D76="","","Target 4 ACHIEVED!"))))</f>
        <v/>
      </c>
      <c r="X76" s="146" t="str">
        <f t="shared" si="83"/>
        <v/>
      </c>
      <c r="Y76" s="146" t="str">
        <f>IF(ISERROR(D76),"",IF(Dashboard!$E$14="","",IF($D76&gt;Dashboard!$E$14,$D76-Dashboard!$E$14,IF($D76="","","Target ACHIEVED!"))))</f>
        <v/>
      </c>
      <c r="Z76" s="146" t="str">
        <f t="shared" si="84"/>
        <v/>
      </c>
      <c r="AA76" s="155" t="str">
        <f t="shared" si="85"/>
        <v/>
      </c>
    </row>
    <row r="77" spans="1:27" x14ac:dyDescent="0.2">
      <c r="A77" s="139" t="str">
        <f t="shared" ref="A77:A84" si="86">IF(ISERROR(D77),"",A76+7)</f>
        <v/>
      </c>
      <c r="B77" s="140"/>
      <c r="C77" s="140"/>
      <c r="D77" s="141" t="e">
        <f t="shared" ref="D77:D84" si="87">IF(B77="",NA(),(B77*14)+C77)</f>
        <v>#N/A</v>
      </c>
      <c r="E77" s="141" t="str">
        <f t="shared" ref="E77:E84" si="88">IF(ISERROR(D77),"",D77)</f>
        <v/>
      </c>
      <c r="F77" s="141" t="str">
        <f>IF(Dashboard!$E$9="","",Dashboard!$E$9)</f>
        <v/>
      </c>
      <c r="G77" s="141" t="str">
        <f>IF(Dashboard!$E$10="","",Dashboard!$E$10)</f>
        <v/>
      </c>
      <c r="H77" s="141" t="str">
        <f>IF(Dashboard!$E$11="","",Dashboard!$E$11)</f>
        <v/>
      </c>
      <c r="I77" s="141" t="str">
        <f>IF(Dashboard!$E$12="","",Dashboard!$E$12)</f>
        <v/>
      </c>
      <c r="J77" s="141" t="str">
        <f>IF(Dashboard!$E$13="","",Dashboard!$E$13)</f>
        <v/>
      </c>
      <c r="K77" s="141" t="str">
        <f>IF(Dashboard!$E$14="","",Dashboard!$E$14)</f>
        <v/>
      </c>
      <c r="L77" s="141" t="str">
        <f t="shared" ref="L77:L84" si="89">IF(ISERROR(D77),"",D77-D76)</f>
        <v/>
      </c>
      <c r="M77" s="141" t="str">
        <f t="shared" ref="M77:M84" si="90">IF(B77="","",$D$2-D77)</f>
        <v/>
      </c>
      <c r="N77" s="142" t="str">
        <f>IF(ISERROR(D77),"",(D77*703)/(Dashboard!$E$6*Dashboard!$E$6))</f>
        <v/>
      </c>
      <c r="O77" s="141" t="str">
        <f>IF(ISERROR(D77),"",IF(D77&lt;=Dashboard!$P$5,"Club10 Achieved!",(Dashboard!$P$5-D77)*-1))</f>
        <v/>
      </c>
      <c r="P77" s="141" t="str">
        <f t="shared" ref="P77:P84" si="91">IF(O77="","",IF(O77="Club10 Achieved!","Club10 Achieved!",CONCATENATE(ROUNDDOWN(O77/14,0)," st ",MOD(O77,14)," lbs")))</f>
        <v/>
      </c>
      <c r="Q77" s="141" t="str">
        <f>IF(Dashboard!$E$10="","",IF(ISERROR(D77),"",IF($D77&gt;Dashboard!$E$10,$D77-Dashboard!$E$10,IF($D77="","","Target 1 ACHIEVED!"))))</f>
        <v/>
      </c>
      <c r="R77" s="141" t="str">
        <f t="shared" ref="R77:R84" si="92">IF(Q77="","",IF(Q77="Target 1 ACHIEVED!","Target 1 ACHIEVED!",CONCATENATE(ROUNDDOWN(Q77/14,0)," st ",MOD(Q77,14)," lbs")))</f>
        <v/>
      </c>
      <c r="S77" s="141" t="str">
        <f>IF(ISERROR(D77),"",IF(Dashboard!$E$11="","",IF($D77&gt;Dashboard!$E$11,$D77-Dashboard!$E$11,IF($D77="","","Target 2 ACHIEVED!"))))</f>
        <v/>
      </c>
      <c r="T77" s="141" t="str">
        <f t="shared" ref="T77:T84" si="93">IF(S77="","",IF(S77="Target 2 ACHIEVED!","Target 2 ACHIEVED!",CONCATENATE(ROUNDDOWN(S77/14,0)," st ",MOD(S77,14)," lbs")))</f>
        <v/>
      </c>
      <c r="U77" s="141" t="str">
        <f>IF(Dashboard!$E$12="","",IF(ISERROR(D77),"",IF($D77&gt;Dashboard!$E$12,$D77-Dashboard!$E$12,IF($D77="","","Target 3 ACHIEVED!"))))</f>
        <v/>
      </c>
      <c r="V77" s="141" t="str">
        <f t="shared" ref="V77:V84" si="94">IF(U77="","",IF(U77="Target 3 ACHIEVED!","Target 3 ACHIEVED!",CONCATENATE(ROUNDDOWN(U77/14,0)," st ",MOD(U77,14)," lbs")))</f>
        <v/>
      </c>
      <c r="W77" s="141" t="str">
        <f>IF(Dashboard!$E$13="","",IF(ISERROR(D77),"",IF($D77&gt;Dashboard!$E$13,$D77-Dashboard!$E$13,IF($D77="","","Target 4 ACHIEVED!"))))</f>
        <v/>
      </c>
      <c r="X77" s="141" t="str">
        <f t="shared" ref="X77:X84" si="95">IF(W77="","",IF(W77="Target 4 ACHIEVED!","Target 4 ACHIEVED!",CONCATENATE(ROUNDDOWN(W77/14,0)," st ",MOD(W77,14)," lbs")))</f>
        <v/>
      </c>
      <c r="Y77" s="141" t="str">
        <f>IF(ISERROR(D77),"",IF(Dashboard!$E$14="","",IF($D77&gt;Dashboard!$E$14,$D77-Dashboard!$E$14,IF($D77="","","Target ACHIEVED!"))))</f>
        <v/>
      </c>
      <c r="Z77" s="141" t="str">
        <f t="shared" ref="Z77:Z84" si="96">IF(Y77="","",IF(Y77="Target ACHIEVED!","Target ACHIEVED!",CONCATENATE(ROUNDDOWN(Y77/14,0)," st ",MOD(Y77,14)," lbs")))</f>
        <v/>
      </c>
      <c r="AA77" s="154" t="str">
        <f t="shared" ref="AA77:AA84" si="97">IF((AND(M77&lt;=202.5,M77&gt;=196)),"14 STONE",
 IF((AND(M77&lt;=195.5,M77&gt;=189)),"13.5 STONE",
 IF((AND(M77&lt;=188.5,M77&gt;=182)),"13 STONE",
 IF((AND(M77&lt;=181.5,M77&gt;=175)),"12.5 STONE",
 IF((AND(M77&lt;=174.5,M77&gt;=168)),"12 STONE",
 IF((AND(M77&lt;=167.5,M77&gt;=161)),"11.5 STONE",
 IF((AND(M77&lt;=160.5,M77&gt;=154)),"11 STONE",
 IF((AND(M77&lt;=153.5,M77&gt;=147)),"10.5 STONE",
 IF((AND(M77&lt;=146.5,M77&gt;=140)),"10 STONE",
 IF((AND(M77&lt;=139.5,M77&gt;=133)),"9.5 STONE",
 IF((AND(M77&lt;=132.5,M77&gt;=126)),"9 STONE",
 IF((AND(M77&lt;=125.5,M77&gt;=119)),"8.5 STONE",
 IF((AND(M77&lt;=118.5,M77&gt;=112)),"8 STONE",
 IF((AND(M77&lt;=111.5,M77&gt;=105)),"7.5 STONE",
 IF((AND(M77&lt;=104.5,M77&gt;=98)),"7 STONE",
 IF((AND(M77&lt;=97.5,M77&gt;=91)),"6.5 STONE",
 IF((AND(M77&lt;=90.5,M77&gt;=84)),"6 STONE",
 IF((AND(M77&lt;=83.5,M77&gt;=77)),"5.5 STONE",
 IF((AND(M77&lt;=76.5,M77&gt;=70)),"5 STONE",
 IF((AND(M77&lt;=69.5,M77&gt;=63)),"4.5 STONE",
 IF((AND(M77&lt;=62.5,M77&gt;=56)),"4 STONE",
 IF((AND(M77&lt;=55.5,M77&gt;=49)),"3.5 STONE",
 IF((AND(M77&lt;=48.5,M77&gt;=42)),"3 STONE",
 IF((AND(M77&lt;=41.5,M77&gt;=35)),"2.5 STONE",
 IF((AND(M77&lt;=34.5,M77&gt;=28)),"2 STONE",
 IF((AND(M77&lt;=27.5,M77&gt;=21)),"1.5 STONE",
 IF((AND(M77&lt;=20.5,M77&gt;=14)),"1 STONE",
 IF((AND(M77&lt;=13.5,M77&gt;=7)),"0.5 STONE",
 IF((AND(M77&lt;=6.5,M77&gt;=0)),"",
 "")))))))))))))))))))))))))))))</f>
        <v/>
      </c>
    </row>
    <row r="78" spans="1:27" x14ac:dyDescent="0.2">
      <c r="A78" s="135" t="str">
        <f t="shared" si="86"/>
        <v/>
      </c>
      <c r="B78" s="136"/>
      <c r="C78" s="136"/>
      <c r="D78" s="137" t="e">
        <f t="shared" si="87"/>
        <v>#N/A</v>
      </c>
      <c r="E78" s="137" t="str">
        <f t="shared" si="88"/>
        <v/>
      </c>
      <c r="F78" s="137" t="str">
        <f>IF(Dashboard!$E$9="","",Dashboard!$E$9)</f>
        <v/>
      </c>
      <c r="G78" s="137" t="str">
        <f>IF(Dashboard!$E$10="","",Dashboard!$E$10)</f>
        <v/>
      </c>
      <c r="H78" s="137" t="str">
        <f>IF(Dashboard!$E$11="","",Dashboard!$E$11)</f>
        <v/>
      </c>
      <c r="I78" s="137" t="str">
        <f>IF(Dashboard!$E$12="","",Dashboard!$E$12)</f>
        <v/>
      </c>
      <c r="J78" s="137" t="str">
        <f>IF(Dashboard!$E$13="","",Dashboard!$E$13)</f>
        <v/>
      </c>
      <c r="K78" s="137" t="str">
        <f>IF(Dashboard!$E$14="","",Dashboard!$E$14)</f>
        <v/>
      </c>
      <c r="L78" s="137" t="str">
        <f t="shared" si="89"/>
        <v/>
      </c>
      <c r="M78" s="137" t="str">
        <f t="shared" si="90"/>
        <v/>
      </c>
      <c r="N78" s="138" t="str">
        <f>IF(ISERROR(D78),"",(D78*703)/(Dashboard!$E$6*Dashboard!$E$6))</f>
        <v/>
      </c>
      <c r="O78" s="137" t="str">
        <f>IF(ISERROR(D78),"",IF(D78&lt;=Dashboard!$P$5,"Club10 Achieved!",(Dashboard!$P$5-D78)*-1))</f>
        <v/>
      </c>
      <c r="P78" s="137" t="str">
        <f t="shared" si="91"/>
        <v/>
      </c>
      <c r="Q78" s="137" t="str">
        <f>IF(Dashboard!$E$10="","",IF(ISERROR(D78),"",IF($D78&gt;Dashboard!$E$10,$D78-Dashboard!$E$10,IF($D78="","","Target 1 ACHIEVED!"))))</f>
        <v/>
      </c>
      <c r="R78" s="137" t="str">
        <f t="shared" si="92"/>
        <v/>
      </c>
      <c r="S78" s="137" t="str">
        <f>IF(ISERROR(D78),"",IF(Dashboard!$E$11="","",IF($D78&gt;Dashboard!$E$11,$D78-Dashboard!$E$11,IF($D78="","","Target 2 ACHIEVED!"))))</f>
        <v/>
      </c>
      <c r="T78" s="137" t="str">
        <f t="shared" si="93"/>
        <v/>
      </c>
      <c r="U78" s="137" t="str">
        <f>IF(Dashboard!$E$12="","",IF(ISERROR(D78),"",IF($D78&gt;Dashboard!$E$12,$D78-Dashboard!$E$12,IF($D78="","","Target 3 ACHIEVED!"))))</f>
        <v/>
      </c>
      <c r="V78" s="137" t="str">
        <f t="shared" si="94"/>
        <v/>
      </c>
      <c r="W78" s="137" t="str">
        <f>IF(Dashboard!$E$13="","",IF(ISERROR(D78),"",IF($D78&gt;Dashboard!$E$13,$D78-Dashboard!$E$13,IF($D78="","","Target 4 ACHIEVED!"))))</f>
        <v/>
      </c>
      <c r="X78" s="137" t="str">
        <f t="shared" si="95"/>
        <v/>
      </c>
      <c r="Y78" s="137" t="str">
        <f>IF(ISERROR(D78),"",IF(Dashboard!$E$14="","",IF($D78&gt;Dashboard!$E$14,$D78-Dashboard!$E$14,IF($D78="","","Target ACHIEVED!"))))</f>
        <v/>
      </c>
      <c r="Z78" s="137" t="str">
        <f t="shared" si="96"/>
        <v/>
      </c>
      <c r="AA78" s="153" t="str">
        <f t="shared" si="97"/>
        <v/>
      </c>
    </row>
    <row r="79" spans="1:27" x14ac:dyDescent="0.2">
      <c r="A79" s="139" t="str">
        <f t="shared" si="86"/>
        <v/>
      </c>
      <c r="B79" s="140"/>
      <c r="C79" s="140"/>
      <c r="D79" s="141" t="e">
        <f t="shared" si="87"/>
        <v>#N/A</v>
      </c>
      <c r="E79" s="141" t="str">
        <f t="shared" si="88"/>
        <v/>
      </c>
      <c r="F79" s="141" t="str">
        <f>IF(Dashboard!$E$9="","",Dashboard!$E$9)</f>
        <v/>
      </c>
      <c r="G79" s="141" t="str">
        <f>IF(Dashboard!$E$10="","",Dashboard!$E$10)</f>
        <v/>
      </c>
      <c r="H79" s="141" t="str">
        <f>IF(Dashboard!$E$11="","",Dashboard!$E$11)</f>
        <v/>
      </c>
      <c r="I79" s="141" t="str">
        <f>IF(Dashboard!$E$12="","",Dashboard!$E$12)</f>
        <v/>
      </c>
      <c r="J79" s="141" t="str">
        <f>IF(Dashboard!$E$13="","",Dashboard!$E$13)</f>
        <v/>
      </c>
      <c r="K79" s="141" t="str">
        <f>IF(Dashboard!$E$14="","",Dashboard!$E$14)</f>
        <v/>
      </c>
      <c r="L79" s="141" t="str">
        <f t="shared" si="89"/>
        <v/>
      </c>
      <c r="M79" s="141" t="str">
        <f t="shared" si="90"/>
        <v/>
      </c>
      <c r="N79" s="142" t="str">
        <f>IF(ISERROR(D79),"",(D79*703)/(Dashboard!$E$6*Dashboard!$E$6))</f>
        <v/>
      </c>
      <c r="O79" s="141" t="str">
        <f>IF(ISERROR(D79),"",IF(D79&lt;=Dashboard!$P$5,"Club10 Achieved!",(Dashboard!$P$5-D79)*-1))</f>
        <v/>
      </c>
      <c r="P79" s="141" t="str">
        <f t="shared" si="91"/>
        <v/>
      </c>
      <c r="Q79" s="141" t="str">
        <f>IF(Dashboard!$E$10="","",IF(ISERROR(D79),"",IF($D79&gt;Dashboard!$E$10,$D79-Dashboard!$E$10,IF($D79="","","Target 1 ACHIEVED!"))))</f>
        <v/>
      </c>
      <c r="R79" s="141" t="str">
        <f t="shared" si="92"/>
        <v/>
      </c>
      <c r="S79" s="141" t="str">
        <f>IF(ISERROR(D79),"",IF(Dashboard!$E$11="","",IF($D79&gt;Dashboard!$E$11,$D79-Dashboard!$E$11,IF($D79="","","Target 2 ACHIEVED!"))))</f>
        <v/>
      </c>
      <c r="T79" s="141" t="str">
        <f t="shared" si="93"/>
        <v/>
      </c>
      <c r="U79" s="141" t="str">
        <f>IF(Dashboard!$E$12="","",IF(ISERROR(D79),"",IF($D79&gt;Dashboard!$E$12,$D79-Dashboard!$E$12,IF($D79="","","Target 3 ACHIEVED!"))))</f>
        <v/>
      </c>
      <c r="V79" s="141" t="str">
        <f t="shared" si="94"/>
        <v/>
      </c>
      <c r="W79" s="141" t="str">
        <f>IF(Dashboard!$E$13="","",IF(ISERROR(D79),"",IF($D79&gt;Dashboard!$E$13,$D79-Dashboard!$E$13,IF($D79="","","Target 4 ACHIEVED!"))))</f>
        <v/>
      </c>
      <c r="X79" s="141" t="str">
        <f t="shared" si="95"/>
        <v/>
      </c>
      <c r="Y79" s="141" t="str">
        <f>IF(ISERROR(D79),"",IF(Dashboard!$E$14="","",IF($D79&gt;Dashboard!$E$14,$D79-Dashboard!$E$14,IF($D79="","","Target ACHIEVED!"))))</f>
        <v/>
      </c>
      <c r="Z79" s="141" t="str">
        <f t="shared" si="96"/>
        <v/>
      </c>
      <c r="AA79" s="154" t="str">
        <f t="shared" si="97"/>
        <v/>
      </c>
    </row>
    <row r="80" spans="1:27" x14ac:dyDescent="0.2">
      <c r="A80" s="135" t="str">
        <f t="shared" si="86"/>
        <v/>
      </c>
      <c r="B80" s="136"/>
      <c r="C80" s="136"/>
      <c r="D80" s="137" t="e">
        <f t="shared" si="87"/>
        <v>#N/A</v>
      </c>
      <c r="E80" s="137" t="str">
        <f t="shared" si="88"/>
        <v/>
      </c>
      <c r="F80" s="137" t="str">
        <f>IF(Dashboard!$E$9="","",Dashboard!$E$9)</f>
        <v/>
      </c>
      <c r="G80" s="137" t="str">
        <f>IF(Dashboard!$E$10="","",Dashboard!$E$10)</f>
        <v/>
      </c>
      <c r="H80" s="137" t="str">
        <f>IF(Dashboard!$E$11="","",Dashboard!$E$11)</f>
        <v/>
      </c>
      <c r="I80" s="137" t="str">
        <f>IF(Dashboard!$E$12="","",Dashboard!$E$12)</f>
        <v/>
      </c>
      <c r="J80" s="137" t="str">
        <f>IF(Dashboard!$E$13="","",Dashboard!$E$13)</f>
        <v/>
      </c>
      <c r="K80" s="137" t="str">
        <f>IF(Dashboard!$E$14="","",Dashboard!$E$14)</f>
        <v/>
      </c>
      <c r="L80" s="137" t="str">
        <f t="shared" si="89"/>
        <v/>
      </c>
      <c r="M80" s="137" t="str">
        <f t="shared" si="90"/>
        <v/>
      </c>
      <c r="N80" s="138" t="str">
        <f>IF(ISERROR(D80),"",(D80*703)/(Dashboard!$E$6*Dashboard!$E$6))</f>
        <v/>
      </c>
      <c r="O80" s="137" t="str">
        <f>IF(ISERROR(D80),"",IF(D80&lt;=Dashboard!$P$5,"Club10 Achieved!",(Dashboard!$P$5-D80)*-1))</f>
        <v/>
      </c>
      <c r="P80" s="137" t="str">
        <f t="shared" si="91"/>
        <v/>
      </c>
      <c r="Q80" s="137" t="str">
        <f>IF(Dashboard!$E$10="","",IF(ISERROR(D80),"",IF($D80&gt;Dashboard!$E$10,$D80-Dashboard!$E$10,IF($D80="","","Target 1 ACHIEVED!"))))</f>
        <v/>
      </c>
      <c r="R80" s="137" t="str">
        <f t="shared" si="92"/>
        <v/>
      </c>
      <c r="S80" s="137" t="str">
        <f>IF(ISERROR(D80),"",IF(Dashboard!$E$11="","",IF($D80&gt;Dashboard!$E$11,$D80-Dashboard!$E$11,IF($D80="","","Target 2 ACHIEVED!"))))</f>
        <v/>
      </c>
      <c r="T80" s="137" t="str">
        <f t="shared" si="93"/>
        <v/>
      </c>
      <c r="U80" s="137" t="str">
        <f>IF(Dashboard!$E$12="","",IF(ISERROR(D80),"",IF($D80&gt;Dashboard!$E$12,$D80-Dashboard!$E$12,IF($D80="","","Target 3 ACHIEVED!"))))</f>
        <v/>
      </c>
      <c r="V80" s="137" t="str">
        <f t="shared" si="94"/>
        <v/>
      </c>
      <c r="W80" s="137" t="str">
        <f>IF(Dashboard!$E$13="","",IF(ISERROR(D80),"",IF($D80&gt;Dashboard!$E$13,$D80-Dashboard!$E$13,IF($D80="","","Target 4 ACHIEVED!"))))</f>
        <v/>
      </c>
      <c r="X80" s="137" t="str">
        <f t="shared" si="95"/>
        <v/>
      </c>
      <c r="Y80" s="137" t="str">
        <f>IF(ISERROR(D80),"",IF(Dashboard!$E$14="","",IF($D80&gt;Dashboard!$E$14,$D80-Dashboard!$E$14,IF($D80="","","Target ACHIEVED!"))))</f>
        <v/>
      </c>
      <c r="Z80" s="137" t="str">
        <f t="shared" si="96"/>
        <v/>
      </c>
      <c r="AA80" s="153" t="str">
        <f t="shared" si="97"/>
        <v/>
      </c>
    </row>
    <row r="81" spans="1:27" x14ac:dyDescent="0.2">
      <c r="A81" s="139" t="str">
        <f t="shared" si="86"/>
        <v/>
      </c>
      <c r="B81" s="140"/>
      <c r="C81" s="140"/>
      <c r="D81" s="141" t="e">
        <f t="shared" si="87"/>
        <v>#N/A</v>
      </c>
      <c r="E81" s="141" t="str">
        <f t="shared" si="88"/>
        <v/>
      </c>
      <c r="F81" s="141" t="str">
        <f>IF(Dashboard!$E$9="","",Dashboard!$E$9)</f>
        <v/>
      </c>
      <c r="G81" s="141" t="str">
        <f>IF(Dashboard!$E$10="","",Dashboard!$E$10)</f>
        <v/>
      </c>
      <c r="H81" s="141" t="str">
        <f>IF(Dashboard!$E$11="","",Dashboard!$E$11)</f>
        <v/>
      </c>
      <c r="I81" s="141" t="str">
        <f>IF(Dashboard!$E$12="","",Dashboard!$E$12)</f>
        <v/>
      </c>
      <c r="J81" s="141" t="str">
        <f>IF(Dashboard!$E$13="","",Dashboard!$E$13)</f>
        <v/>
      </c>
      <c r="K81" s="141" t="str">
        <f>IF(Dashboard!$E$14="","",Dashboard!$E$14)</f>
        <v/>
      </c>
      <c r="L81" s="141" t="str">
        <f t="shared" si="89"/>
        <v/>
      </c>
      <c r="M81" s="141" t="str">
        <f t="shared" si="90"/>
        <v/>
      </c>
      <c r="N81" s="142" t="str">
        <f>IF(ISERROR(D81),"",(D81*703)/(Dashboard!$E$6*Dashboard!$E$6))</f>
        <v/>
      </c>
      <c r="O81" s="141" t="str">
        <f>IF(ISERROR(D81),"",IF(D81&lt;=Dashboard!$P$5,"Club10 Achieved!",(Dashboard!$P$5-D81)*-1))</f>
        <v/>
      </c>
      <c r="P81" s="141" t="str">
        <f t="shared" si="91"/>
        <v/>
      </c>
      <c r="Q81" s="141" t="str">
        <f>IF(Dashboard!$E$10="","",IF(ISERROR(D81),"",IF($D81&gt;Dashboard!$E$10,$D81-Dashboard!$E$10,IF($D81="","","Target 1 ACHIEVED!"))))</f>
        <v/>
      </c>
      <c r="R81" s="141" t="str">
        <f t="shared" si="92"/>
        <v/>
      </c>
      <c r="S81" s="141" t="str">
        <f>IF(ISERROR(D81),"",IF(Dashboard!$E$11="","",IF($D81&gt;Dashboard!$E$11,$D81-Dashboard!$E$11,IF($D81="","","Target 2 ACHIEVED!"))))</f>
        <v/>
      </c>
      <c r="T81" s="141" t="str">
        <f t="shared" si="93"/>
        <v/>
      </c>
      <c r="U81" s="141" t="str">
        <f>IF(Dashboard!$E$12="","",IF(ISERROR(D81),"",IF($D81&gt;Dashboard!$E$12,$D81-Dashboard!$E$12,IF($D81="","","Target 3 ACHIEVED!"))))</f>
        <v/>
      </c>
      <c r="V81" s="141" t="str">
        <f t="shared" si="94"/>
        <v/>
      </c>
      <c r="W81" s="141" t="str">
        <f>IF(Dashboard!$E$13="","",IF(ISERROR(D81),"",IF($D81&gt;Dashboard!$E$13,$D81-Dashboard!$E$13,IF($D81="","","Target 4 ACHIEVED!"))))</f>
        <v/>
      </c>
      <c r="X81" s="141" t="str">
        <f t="shared" si="95"/>
        <v/>
      </c>
      <c r="Y81" s="141" t="str">
        <f>IF(ISERROR(D81),"",IF(Dashboard!$E$14="","",IF($D81&gt;Dashboard!$E$14,$D81-Dashboard!$E$14,IF($D81="","","Target ACHIEVED!"))))</f>
        <v/>
      </c>
      <c r="Z81" s="141" t="str">
        <f t="shared" si="96"/>
        <v/>
      </c>
      <c r="AA81" s="154" t="str">
        <f t="shared" si="97"/>
        <v/>
      </c>
    </row>
    <row r="82" spans="1:27" x14ac:dyDescent="0.2">
      <c r="A82" s="135" t="str">
        <f t="shared" si="86"/>
        <v/>
      </c>
      <c r="B82" s="136"/>
      <c r="C82" s="136"/>
      <c r="D82" s="137" t="e">
        <f t="shared" si="87"/>
        <v>#N/A</v>
      </c>
      <c r="E82" s="137" t="str">
        <f t="shared" si="88"/>
        <v/>
      </c>
      <c r="F82" s="137" t="str">
        <f>IF(Dashboard!$E$9="","",Dashboard!$E$9)</f>
        <v/>
      </c>
      <c r="G82" s="137" t="str">
        <f>IF(Dashboard!$E$10="","",Dashboard!$E$10)</f>
        <v/>
      </c>
      <c r="H82" s="137" t="str">
        <f>IF(Dashboard!$E$11="","",Dashboard!$E$11)</f>
        <v/>
      </c>
      <c r="I82" s="137" t="str">
        <f>IF(Dashboard!$E$12="","",Dashboard!$E$12)</f>
        <v/>
      </c>
      <c r="J82" s="137" t="str">
        <f>IF(Dashboard!$E$13="","",Dashboard!$E$13)</f>
        <v/>
      </c>
      <c r="K82" s="137" t="str">
        <f>IF(Dashboard!$E$14="","",Dashboard!$E$14)</f>
        <v/>
      </c>
      <c r="L82" s="137" t="str">
        <f t="shared" si="89"/>
        <v/>
      </c>
      <c r="M82" s="137" t="str">
        <f t="shared" si="90"/>
        <v/>
      </c>
      <c r="N82" s="138" t="str">
        <f>IF(ISERROR(D82),"",(D82*703)/(Dashboard!$E$6*Dashboard!$E$6))</f>
        <v/>
      </c>
      <c r="O82" s="137" t="str">
        <f>IF(ISERROR(D82),"",IF(D82&lt;=Dashboard!$P$5,"Club10 Achieved!",(Dashboard!$P$5-D82)*-1))</f>
        <v/>
      </c>
      <c r="P82" s="137" t="str">
        <f t="shared" si="91"/>
        <v/>
      </c>
      <c r="Q82" s="137" t="str">
        <f>IF(Dashboard!$E$10="","",IF(ISERROR(D82),"",IF($D82&gt;Dashboard!$E$10,$D82-Dashboard!$E$10,IF($D82="","","Target 1 ACHIEVED!"))))</f>
        <v/>
      </c>
      <c r="R82" s="137" t="str">
        <f t="shared" si="92"/>
        <v/>
      </c>
      <c r="S82" s="137" t="str">
        <f>IF(ISERROR(D82),"",IF(Dashboard!$E$11="","",IF($D82&gt;Dashboard!$E$11,$D82-Dashboard!$E$11,IF($D82="","","Target 2 ACHIEVED!"))))</f>
        <v/>
      </c>
      <c r="T82" s="137" t="str">
        <f t="shared" si="93"/>
        <v/>
      </c>
      <c r="U82" s="137" t="str">
        <f>IF(Dashboard!$E$12="","",IF(ISERROR(D82),"",IF($D82&gt;Dashboard!$E$12,$D82-Dashboard!$E$12,IF($D82="","","Target 3 ACHIEVED!"))))</f>
        <v/>
      </c>
      <c r="V82" s="137" t="str">
        <f t="shared" si="94"/>
        <v/>
      </c>
      <c r="W82" s="137" t="str">
        <f>IF(Dashboard!$E$13="","",IF(ISERROR(D82),"",IF($D82&gt;Dashboard!$E$13,$D82-Dashboard!$E$13,IF($D82="","","Target 4 ACHIEVED!"))))</f>
        <v/>
      </c>
      <c r="X82" s="137" t="str">
        <f t="shared" si="95"/>
        <v/>
      </c>
      <c r="Y82" s="137" t="str">
        <f>IF(ISERROR(D82),"",IF(Dashboard!$E$14="","",IF($D82&gt;Dashboard!$E$14,$D82-Dashboard!$E$14,IF($D82="","","Target ACHIEVED!"))))</f>
        <v/>
      </c>
      <c r="Z82" s="137" t="str">
        <f t="shared" si="96"/>
        <v/>
      </c>
      <c r="AA82" s="153" t="str">
        <f t="shared" si="97"/>
        <v/>
      </c>
    </row>
    <row r="83" spans="1:27" x14ac:dyDescent="0.2">
      <c r="A83" s="139" t="str">
        <f t="shared" si="86"/>
        <v/>
      </c>
      <c r="B83" s="140"/>
      <c r="C83" s="140"/>
      <c r="D83" s="141" t="e">
        <f t="shared" si="87"/>
        <v>#N/A</v>
      </c>
      <c r="E83" s="141" t="str">
        <f t="shared" si="88"/>
        <v/>
      </c>
      <c r="F83" s="141" t="str">
        <f>IF(Dashboard!$E$9="","",Dashboard!$E$9)</f>
        <v/>
      </c>
      <c r="G83" s="141" t="str">
        <f>IF(Dashboard!$E$10="","",Dashboard!$E$10)</f>
        <v/>
      </c>
      <c r="H83" s="141" t="str">
        <f>IF(Dashboard!$E$11="","",Dashboard!$E$11)</f>
        <v/>
      </c>
      <c r="I83" s="141" t="str">
        <f>IF(Dashboard!$E$12="","",Dashboard!$E$12)</f>
        <v/>
      </c>
      <c r="J83" s="141" t="str">
        <f>IF(Dashboard!$E$13="","",Dashboard!$E$13)</f>
        <v/>
      </c>
      <c r="K83" s="141" t="str">
        <f>IF(Dashboard!$E$14="","",Dashboard!$E$14)</f>
        <v/>
      </c>
      <c r="L83" s="141" t="str">
        <f t="shared" si="89"/>
        <v/>
      </c>
      <c r="M83" s="141" t="str">
        <f t="shared" si="90"/>
        <v/>
      </c>
      <c r="N83" s="142" t="str">
        <f>IF(ISERROR(D83),"",(D83*703)/(Dashboard!$E$6*Dashboard!$E$6))</f>
        <v/>
      </c>
      <c r="O83" s="141" t="str">
        <f>IF(ISERROR(D83),"",IF(D83&lt;=Dashboard!$P$5,"Club10 Achieved!",(Dashboard!$P$5-D83)*-1))</f>
        <v/>
      </c>
      <c r="P83" s="141" t="str">
        <f t="shared" si="91"/>
        <v/>
      </c>
      <c r="Q83" s="141" t="str">
        <f>IF(Dashboard!$E$10="","",IF(ISERROR(D83),"",IF($D83&gt;Dashboard!$E$10,$D83-Dashboard!$E$10,IF($D83="","","Target 1 ACHIEVED!"))))</f>
        <v/>
      </c>
      <c r="R83" s="141" t="str">
        <f t="shared" si="92"/>
        <v/>
      </c>
      <c r="S83" s="141" t="str">
        <f>IF(ISERROR(D83),"",IF(Dashboard!$E$11="","",IF($D83&gt;Dashboard!$E$11,$D83-Dashboard!$E$11,IF($D83="","","Target 2 ACHIEVED!"))))</f>
        <v/>
      </c>
      <c r="T83" s="141" t="str">
        <f t="shared" si="93"/>
        <v/>
      </c>
      <c r="U83" s="141" t="str">
        <f>IF(Dashboard!$E$12="","",IF(ISERROR(D83),"",IF($D83&gt;Dashboard!$E$12,$D83-Dashboard!$E$12,IF($D83="","","Target 3 ACHIEVED!"))))</f>
        <v/>
      </c>
      <c r="V83" s="141" t="str">
        <f t="shared" si="94"/>
        <v/>
      </c>
      <c r="W83" s="141" t="str">
        <f>IF(Dashboard!$E$13="","",IF(ISERROR(D83),"",IF($D83&gt;Dashboard!$E$13,$D83-Dashboard!$E$13,IF($D83="","","Target 4 ACHIEVED!"))))</f>
        <v/>
      </c>
      <c r="X83" s="141" t="str">
        <f t="shared" si="95"/>
        <v/>
      </c>
      <c r="Y83" s="141" t="str">
        <f>IF(ISERROR(D83),"",IF(Dashboard!$E$14="","",IF($D83&gt;Dashboard!$E$14,$D83-Dashboard!$E$14,IF($D83="","","Target ACHIEVED!"))))</f>
        <v/>
      </c>
      <c r="Z83" s="141" t="str">
        <f t="shared" si="96"/>
        <v/>
      </c>
      <c r="AA83" s="154" t="str">
        <f t="shared" si="97"/>
        <v/>
      </c>
    </row>
    <row r="84" spans="1:27" x14ac:dyDescent="0.2">
      <c r="A84" s="144" t="str">
        <f t="shared" si="86"/>
        <v/>
      </c>
      <c r="B84" s="145"/>
      <c r="C84" s="145"/>
      <c r="D84" s="146" t="e">
        <f t="shared" si="87"/>
        <v>#N/A</v>
      </c>
      <c r="E84" s="146" t="str">
        <f t="shared" si="88"/>
        <v/>
      </c>
      <c r="F84" s="146" t="str">
        <f>IF(Dashboard!$E$9="","",Dashboard!$E$9)</f>
        <v/>
      </c>
      <c r="G84" s="146" t="str">
        <f>IF(Dashboard!$E$10="","",Dashboard!$E$10)</f>
        <v/>
      </c>
      <c r="H84" s="146" t="str">
        <f>IF(Dashboard!$E$11="","",Dashboard!$E$11)</f>
        <v/>
      </c>
      <c r="I84" s="146" t="str">
        <f>IF(Dashboard!$E$12="","",Dashboard!$E$12)</f>
        <v/>
      </c>
      <c r="J84" s="146" t="str">
        <f>IF(Dashboard!$E$13="","",Dashboard!$E$13)</f>
        <v/>
      </c>
      <c r="K84" s="146" t="str">
        <f>IF(Dashboard!$E$14="","",Dashboard!$E$14)</f>
        <v/>
      </c>
      <c r="L84" s="146" t="str">
        <f t="shared" si="89"/>
        <v/>
      </c>
      <c r="M84" s="146" t="str">
        <f t="shared" si="90"/>
        <v/>
      </c>
      <c r="N84" s="147" t="str">
        <f>IF(ISERROR(D84),"",(D84*703)/(Dashboard!$E$6*Dashboard!$E$6))</f>
        <v/>
      </c>
      <c r="O84" s="146" t="str">
        <f>IF(ISERROR(D84),"",IF(D84&lt;=Dashboard!$P$5,"Club10 Achieved!",(Dashboard!$P$5-D84)*-1))</f>
        <v/>
      </c>
      <c r="P84" s="146" t="str">
        <f t="shared" si="91"/>
        <v/>
      </c>
      <c r="Q84" s="146" t="str">
        <f>IF(Dashboard!$E$10="","",IF(ISERROR(D84),"",IF($D84&gt;Dashboard!$E$10,$D84-Dashboard!$E$10,IF($D84="","","Target 1 ACHIEVED!"))))</f>
        <v/>
      </c>
      <c r="R84" s="146" t="str">
        <f t="shared" si="92"/>
        <v/>
      </c>
      <c r="S84" s="146" t="str">
        <f>IF(ISERROR(D84),"",IF(Dashboard!$E$11="","",IF($D84&gt;Dashboard!$E$11,$D84-Dashboard!$E$11,IF($D84="","","Target 2 ACHIEVED!"))))</f>
        <v/>
      </c>
      <c r="T84" s="146" t="str">
        <f t="shared" si="93"/>
        <v/>
      </c>
      <c r="U84" s="146" t="str">
        <f>IF(Dashboard!$E$12="","",IF(ISERROR(D84),"",IF($D84&gt;Dashboard!$E$12,$D84-Dashboard!$E$12,IF($D84="","","Target 3 ACHIEVED!"))))</f>
        <v/>
      </c>
      <c r="V84" s="146" t="str">
        <f t="shared" si="94"/>
        <v/>
      </c>
      <c r="W84" s="146" t="str">
        <f>IF(Dashboard!$E$13="","",IF(ISERROR(D84),"",IF($D84&gt;Dashboard!$E$13,$D84-Dashboard!$E$13,IF($D84="","","Target 4 ACHIEVED!"))))</f>
        <v/>
      </c>
      <c r="X84" s="146" t="str">
        <f t="shared" si="95"/>
        <v/>
      </c>
      <c r="Y84" s="146" t="str">
        <f>IF(ISERROR(D84),"",IF(Dashboard!$E$14="","",IF($D84&gt;Dashboard!$E$14,$D84-Dashboard!$E$14,IF($D84="","","Target ACHIEVED!"))))</f>
        <v/>
      </c>
      <c r="Z84" s="146" t="str">
        <f t="shared" si="96"/>
        <v/>
      </c>
      <c r="AA84" s="155" t="str">
        <f t="shared" si="97"/>
        <v/>
      </c>
    </row>
    <row r="85" spans="1:27" x14ac:dyDescent="0.2">
      <c r="A85" s="139" t="str">
        <f t="shared" ref="A85:A92" si="98">IF(ISERROR(D85),"",A84+7)</f>
        <v/>
      </c>
      <c r="B85" s="140"/>
      <c r="C85" s="140"/>
      <c r="D85" s="141" t="e">
        <f t="shared" ref="D85:D92" si="99">IF(B85="",NA(),(B85*14)+C85)</f>
        <v>#N/A</v>
      </c>
      <c r="E85" s="141" t="str">
        <f t="shared" ref="E85:E92" si="100">IF(ISERROR(D85),"",D85)</f>
        <v/>
      </c>
      <c r="F85" s="141" t="str">
        <f>IF(Dashboard!$E$9="","",Dashboard!$E$9)</f>
        <v/>
      </c>
      <c r="G85" s="141" t="str">
        <f>IF(Dashboard!$E$10="","",Dashboard!$E$10)</f>
        <v/>
      </c>
      <c r="H85" s="141" t="str">
        <f>IF(Dashboard!$E$11="","",Dashboard!$E$11)</f>
        <v/>
      </c>
      <c r="I85" s="141" t="str">
        <f>IF(Dashboard!$E$12="","",Dashboard!$E$12)</f>
        <v/>
      </c>
      <c r="J85" s="141" t="str">
        <f>IF(Dashboard!$E$13="","",Dashboard!$E$13)</f>
        <v/>
      </c>
      <c r="K85" s="141" t="str">
        <f>IF(Dashboard!$E$14="","",Dashboard!$E$14)</f>
        <v/>
      </c>
      <c r="L85" s="141" t="str">
        <f t="shared" ref="L85:L92" si="101">IF(ISERROR(D85),"",D85-D84)</f>
        <v/>
      </c>
      <c r="M85" s="141" t="str">
        <f t="shared" ref="M85:M92" si="102">IF(B85="","",$D$2-D85)</f>
        <v/>
      </c>
      <c r="N85" s="142" t="str">
        <f>IF(ISERROR(D85),"",(D85*703)/(Dashboard!$E$6*Dashboard!$E$6))</f>
        <v/>
      </c>
      <c r="O85" s="141" t="str">
        <f>IF(ISERROR(D85),"",IF(D85&lt;=Dashboard!$P$5,"Club10 Achieved!",(Dashboard!$P$5-D85)*-1))</f>
        <v/>
      </c>
      <c r="P85" s="141" t="str">
        <f t="shared" ref="P85:P92" si="103">IF(O85="","",IF(O85="Club10 Achieved!","Club10 Achieved!",CONCATENATE(ROUNDDOWN(O85/14,0)," st ",MOD(O85,14)," lbs")))</f>
        <v/>
      </c>
      <c r="Q85" s="141" t="str">
        <f>IF(Dashboard!$E$10="","",IF(ISERROR(D85),"",IF($D85&gt;Dashboard!$E$10,$D85-Dashboard!$E$10,IF($D85="","","Target 1 ACHIEVED!"))))</f>
        <v/>
      </c>
      <c r="R85" s="141" t="str">
        <f t="shared" ref="R85:R92" si="104">IF(Q85="","",IF(Q85="Target 1 ACHIEVED!","Target 1 ACHIEVED!",CONCATENATE(ROUNDDOWN(Q85/14,0)," st ",MOD(Q85,14)," lbs")))</f>
        <v/>
      </c>
      <c r="S85" s="141" t="str">
        <f>IF(ISERROR(D85),"",IF(Dashboard!$E$11="","",IF($D85&gt;Dashboard!$E$11,$D85-Dashboard!$E$11,IF($D85="","","Target 2 ACHIEVED!"))))</f>
        <v/>
      </c>
      <c r="T85" s="141" t="str">
        <f t="shared" ref="T85:T92" si="105">IF(S85="","",IF(S85="Target 2 ACHIEVED!","Target 2 ACHIEVED!",CONCATENATE(ROUNDDOWN(S85/14,0)," st ",MOD(S85,14)," lbs")))</f>
        <v/>
      </c>
      <c r="U85" s="141" t="str">
        <f>IF(Dashboard!$E$12="","",IF(ISERROR(D85),"",IF($D85&gt;Dashboard!$E$12,$D85-Dashboard!$E$12,IF($D85="","","Target 3 ACHIEVED!"))))</f>
        <v/>
      </c>
      <c r="V85" s="141" t="str">
        <f t="shared" ref="V85:V92" si="106">IF(U85="","",IF(U85="Target 3 ACHIEVED!","Target 3 ACHIEVED!",CONCATENATE(ROUNDDOWN(U85/14,0)," st ",MOD(U85,14)," lbs")))</f>
        <v/>
      </c>
      <c r="W85" s="141" t="str">
        <f>IF(Dashboard!$E$13="","",IF(ISERROR(D85),"",IF($D85&gt;Dashboard!$E$13,$D85-Dashboard!$E$13,IF($D85="","","Target 4 ACHIEVED!"))))</f>
        <v/>
      </c>
      <c r="X85" s="141" t="str">
        <f t="shared" ref="X85:X92" si="107">IF(W85="","",IF(W85="Target 4 ACHIEVED!","Target 4 ACHIEVED!",CONCATENATE(ROUNDDOWN(W85/14,0)," st ",MOD(W85,14)," lbs")))</f>
        <v/>
      </c>
      <c r="Y85" s="141" t="str">
        <f>IF(ISERROR(D85),"",IF(Dashboard!$E$14="","",IF($D85&gt;Dashboard!$E$14,$D85-Dashboard!$E$14,IF($D85="","","Target ACHIEVED!"))))</f>
        <v/>
      </c>
      <c r="Z85" s="141" t="str">
        <f t="shared" ref="Z85:Z92" si="108">IF(Y85="","",IF(Y85="Target ACHIEVED!","Target ACHIEVED!",CONCATENATE(ROUNDDOWN(Y85/14,0)," st ",MOD(Y85,14)," lbs")))</f>
        <v/>
      </c>
      <c r="AA85" s="154" t="str">
        <f t="shared" ref="AA85:AA92" si="109">IF((AND(M85&lt;=202.5,M85&gt;=196)),"14 STONE",
 IF((AND(M85&lt;=195.5,M85&gt;=189)),"13.5 STONE",
 IF((AND(M85&lt;=188.5,M85&gt;=182)),"13 STONE",
 IF((AND(M85&lt;=181.5,M85&gt;=175)),"12.5 STONE",
 IF((AND(M85&lt;=174.5,M85&gt;=168)),"12 STONE",
 IF((AND(M85&lt;=167.5,M85&gt;=161)),"11.5 STONE",
 IF((AND(M85&lt;=160.5,M85&gt;=154)),"11 STONE",
 IF((AND(M85&lt;=153.5,M85&gt;=147)),"10.5 STONE",
 IF((AND(M85&lt;=146.5,M85&gt;=140)),"10 STONE",
 IF((AND(M85&lt;=139.5,M85&gt;=133)),"9.5 STONE",
 IF((AND(M85&lt;=132.5,M85&gt;=126)),"9 STONE",
 IF((AND(M85&lt;=125.5,M85&gt;=119)),"8.5 STONE",
 IF((AND(M85&lt;=118.5,M85&gt;=112)),"8 STONE",
 IF((AND(M85&lt;=111.5,M85&gt;=105)),"7.5 STONE",
 IF((AND(M85&lt;=104.5,M85&gt;=98)),"7 STONE",
 IF((AND(M85&lt;=97.5,M85&gt;=91)),"6.5 STONE",
 IF((AND(M85&lt;=90.5,M85&gt;=84)),"6 STONE",
 IF((AND(M85&lt;=83.5,M85&gt;=77)),"5.5 STONE",
 IF((AND(M85&lt;=76.5,M85&gt;=70)),"5 STONE",
 IF((AND(M85&lt;=69.5,M85&gt;=63)),"4.5 STONE",
 IF((AND(M85&lt;=62.5,M85&gt;=56)),"4 STONE",
 IF((AND(M85&lt;=55.5,M85&gt;=49)),"3.5 STONE",
 IF((AND(M85&lt;=48.5,M85&gt;=42)),"3 STONE",
 IF((AND(M85&lt;=41.5,M85&gt;=35)),"2.5 STONE",
 IF((AND(M85&lt;=34.5,M85&gt;=28)),"2 STONE",
 IF((AND(M85&lt;=27.5,M85&gt;=21)),"1.5 STONE",
 IF((AND(M85&lt;=20.5,M85&gt;=14)),"1 STONE",
 IF((AND(M85&lt;=13.5,M85&gt;=7)),"0.5 STONE",
 IF((AND(M85&lt;=6.5,M85&gt;=0)),"",
 "")))))))))))))))))))))))))))))</f>
        <v/>
      </c>
    </row>
    <row r="86" spans="1:27" x14ac:dyDescent="0.2">
      <c r="A86" s="135" t="str">
        <f t="shared" si="98"/>
        <v/>
      </c>
      <c r="B86" s="136"/>
      <c r="C86" s="136"/>
      <c r="D86" s="137" t="e">
        <f t="shared" si="99"/>
        <v>#N/A</v>
      </c>
      <c r="E86" s="137" t="str">
        <f t="shared" si="100"/>
        <v/>
      </c>
      <c r="F86" s="137" t="str">
        <f>IF(Dashboard!$E$9="","",Dashboard!$E$9)</f>
        <v/>
      </c>
      <c r="G86" s="137" t="str">
        <f>IF(Dashboard!$E$10="","",Dashboard!$E$10)</f>
        <v/>
      </c>
      <c r="H86" s="137" t="str">
        <f>IF(Dashboard!$E$11="","",Dashboard!$E$11)</f>
        <v/>
      </c>
      <c r="I86" s="137" t="str">
        <f>IF(Dashboard!$E$12="","",Dashboard!$E$12)</f>
        <v/>
      </c>
      <c r="J86" s="137" t="str">
        <f>IF(Dashboard!$E$13="","",Dashboard!$E$13)</f>
        <v/>
      </c>
      <c r="K86" s="137" t="str">
        <f>IF(Dashboard!$E$14="","",Dashboard!$E$14)</f>
        <v/>
      </c>
      <c r="L86" s="137" t="str">
        <f t="shared" si="101"/>
        <v/>
      </c>
      <c r="M86" s="137" t="str">
        <f t="shared" si="102"/>
        <v/>
      </c>
      <c r="N86" s="138" t="str">
        <f>IF(ISERROR(D86),"",(D86*703)/(Dashboard!$E$6*Dashboard!$E$6))</f>
        <v/>
      </c>
      <c r="O86" s="137" t="str">
        <f>IF(ISERROR(D86),"",IF(D86&lt;=Dashboard!$P$5,"Club10 Achieved!",(Dashboard!$P$5-D86)*-1))</f>
        <v/>
      </c>
      <c r="P86" s="137" t="str">
        <f t="shared" si="103"/>
        <v/>
      </c>
      <c r="Q86" s="137" t="str">
        <f>IF(Dashboard!$E$10="","",IF(ISERROR(D86),"",IF($D86&gt;Dashboard!$E$10,$D86-Dashboard!$E$10,IF($D86="","","Target 1 ACHIEVED!"))))</f>
        <v/>
      </c>
      <c r="R86" s="137" t="str">
        <f t="shared" si="104"/>
        <v/>
      </c>
      <c r="S86" s="137" t="str">
        <f>IF(ISERROR(D86),"",IF(Dashboard!$E$11="","",IF($D86&gt;Dashboard!$E$11,$D86-Dashboard!$E$11,IF($D86="","","Target 2 ACHIEVED!"))))</f>
        <v/>
      </c>
      <c r="T86" s="137" t="str">
        <f t="shared" si="105"/>
        <v/>
      </c>
      <c r="U86" s="137" t="str">
        <f>IF(Dashboard!$E$12="","",IF(ISERROR(D86),"",IF($D86&gt;Dashboard!$E$12,$D86-Dashboard!$E$12,IF($D86="","","Target 3 ACHIEVED!"))))</f>
        <v/>
      </c>
      <c r="V86" s="137" t="str">
        <f t="shared" si="106"/>
        <v/>
      </c>
      <c r="W86" s="137" t="str">
        <f>IF(Dashboard!$E$13="","",IF(ISERROR(D86),"",IF($D86&gt;Dashboard!$E$13,$D86-Dashboard!$E$13,IF($D86="","","Target 4 ACHIEVED!"))))</f>
        <v/>
      </c>
      <c r="X86" s="137" t="str">
        <f t="shared" si="107"/>
        <v/>
      </c>
      <c r="Y86" s="137" t="str">
        <f>IF(ISERROR(D86),"",IF(Dashboard!$E$14="","",IF($D86&gt;Dashboard!$E$14,$D86-Dashboard!$E$14,IF($D86="","","Target ACHIEVED!"))))</f>
        <v/>
      </c>
      <c r="Z86" s="137" t="str">
        <f t="shared" si="108"/>
        <v/>
      </c>
      <c r="AA86" s="153" t="str">
        <f t="shared" si="109"/>
        <v/>
      </c>
    </row>
    <row r="87" spans="1:27" x14ac:dyDescent="0.2">
      <c r="A87" s="139" t="str">
        <f t="shared" si="98"/>
        <v/>
      </c>
      <c r="B87" s="140"/>
      <c r="C87" s="140"/>
      <c r="D87" s="141" t="e">
        <f t="shared" si="99"/>
        <v>#N/A</v>
      </c>
      <c r="E87" s="141" t="str">
        <f t="shared" si="100"/>
        <v/>
      </c>
      <c r="F87" s="141" t="str">
        <f>IF(Dashboard!$E$9="","",Dashboard!$E$9)</f>
        <v/>
      </c>
      <c r="G87" s="141" t="str">
        <f>IF(Dashboard!$E$10="","",Dashboard!$E$10)</f>
        <v/>
      </c>
      <c r="H87" s="141" t="str">
        <f>IF(Dashboard!$E$11="","",Dashboard!$E$11)</f>
        <v/>
      </c>
      <c r="I87" s="141" t="str">
        <f>IF(Dashboard!$E$12="","",Dashboard!$E$12)</f>
        <v/>
      </c>
      <c r="J87" s="141" t="str">
        <f>IF(Dashboard!$E$13="","",Dashboard!$E$13)</f>
        <v/>
      </c>
      <c r="K87" s="141" t="str">
        <f>IF(Dashboard!$E$14="","",Dashboard!$E$14)</f>
        <v/>
      </c>
      <c r="L87" s="141" t="str">
        <f t="shared" si="101"/>
        <v/>
      </c>
      <c r="M87" s="141" t="str">
        <f t="shared" si="102"/>
        <v/>
      </c>
      <c r="N87" s="142" t="str">
        <f>IF(ISERROR(D87),"",(D87*703)/(Dashboard!$E$6*Dashboard!$E$6))</f>
        <v/>
      </c>
      <c r="O87" s="141" t="str">
        <f>IF(ISERROR(D87),"",IF(D87&lt;=Dashboard!$P$5,"Club10 Achieved!",(Dashboard!$P$5-D87)*-1))</f>
        <v/>
      </c>
      <c r="P87" s="141" t="str">
        <f t="shared" si="103"/>
        <v/>
      </c>
      <c r="Q87" s="141" t="str">
        <f>IF(Dashboard!$E$10="","",IF(ISERROR(D87),"",IF($D87&gt;Dashboard!$E$10,$D87-Dashboard!$E$10,IF($D87="","","Target 1 ACHIEVED!"))))</f>
        <v/>
      </c>
      <c r="R87" s="141" t="str">
        <f t="shared" si="104"/>
        <v/>
      </c>
      <c r="S87" s="141" t="str">
        <f>IF(ISERROR(D87),"",IF(Dashboard!$E$11="","",IF($D87&gt;Dashboard!$E$11,$D87-Dashboard!$E$11,IF($D87="","","Target 2 ACHIEVED!"))))</f>
        <v/>
      </c>
      <c r="T87" s="141" t="str">
        <f t="shared" si="105"/>
        <v/>
      </c>
      <c r="U87" s="141" t="str">
        <f>IF(Dashboard!$E$12="","",IF(ISERROR(D87),"",IF($D87&gt;Dashboard!$E$12,$D87-Dashboard!$E$12,IF($D87="","","Target 3 ACHIEVED!"))))</f>
        <v/>
      </c>
      <c r="V87" s="141" t="str">
        <f t="shared" si="106"/>
        <v/>
      </c>
      <c r="W87" s="141" t="str">
        <f>IF(Dashboard!$E$13="","",IF(ISERROR(D87),"",IF($D87&gt;Dashboard!$E$13,$D87-Dashboard!$E$13,IF($D87="","","Target 4 ACHIEVED!"))))</f>
        <v/>
      </c>
      <c r="X87" s="141" t="str">
        <f t="shared" si="107"/>
        <v/>
      </c>
      <c r="Y87" s="141" t="str">
        <f>IF(ISERROR(D87),"",IF(Dashboard!$E$14="","",IF($D87&gt;Dashboard!$E$14,$D87-Dashboard!$E$14,IF($D87="","","Target ACHIEVED!"))))</f>
        <v/>
      </c>
      <c r="Z87" s="141" t="str">
        <f t="shared" si="108"/>
        <v/>
      </c>
      <c r="AA87" s="154" t="str">
        <f t="shared" si="109"/>
        <v/>
      </c>
    </row>
    <row r="88" spans="1:27" x14ac:dyDescent="0.2">
      <c r="A88" s="135" t="str">
        <f t="shared" si="98"/>
        <v/>
      </c>
      <c r="B88" s="136"/>
      <c r="C88" s="136"/>
      <c r="D88" s="137" t="e">
        <f t="shared" si="99"/>
        <v>#N/A</v>
      </c>
      <c r="E88" s="137" t="str">
        <f t="shared" si="100"/>
        <v/>
      </c>
      <c r="F88" s="137" t="str">
        <f>IF(Dashboard!$E$9="","",Dashboard!$E$9)</f>
        <v/>
      </c>
      <c r="G88" s="137" t="str">
        <f>IF(Dashboard!$E$10="","",Dashboard!$E$10)</f>
        <v/>
      </c>
      <c r="H88" s="137" t="str">
        <f>IF(Dashboard!$E$11="","",Dashboard!$E$11)</f>
        <v/>
      </c>
      <c r="I88" s="137" t="str">
        <f>IF(Dashboard!$E$12="","",Dashboard!$E$12)</f>
        <v/>
      </c>
      <c r="J88" s="137" t="str">
        <f>IF(Dashboard!$E$13="","",Dashboard!$E$13)</f>
        <v/>
      </c>
      <c r="K88" s="137" t="str">
        <f>IF(Dashboard!$E$14="","",Dashboard!$E$14)</f>
        <v/>
      </c>
      <c r="L88" s="137" t="str">
        <f t="shared" si="101"/>
        <v/>
      </c>
      <c r="M88" s="137" t="str">
        <f t="shared" si="102"/>
        <v/>
      </c>
      <c r="N88" s="138" t="str">
        <f>IF(ISERROR(D88),"",(D88*703)/(Dashboard!$E$6*Dashboard!$E$6))</f>
        <v/>
      </c>
      <c r="O88" s="137" t="str">
        <f>IF(ISERROR(D88),"",IF(D88&lt;=Dashboard!$P$5,"Club10 Achieved!",(Dashboard!$P$5-D88)*-1))</f>
        <v/>
      </c>
      <c r="P88" s="137" t="str">
        <f t="shared" si="103"/>
        <v/>
      </c>
      <c r="Q88" s="137" t="str">
        <f>IF(Dashboard!$E$10="","",IF(ISERROR(D88),"",IF($D88&gt;Dashboard!$E$10,$D88-Dashboard!$E$10,IF($D88="","","Target 1 ACHIEVED!"))))</f>
        <v/>
      </c>
      <c r="R88" s="137" t="str">
        <f t="shared" si="104"/>
        <v/>
      </c>
      <c r="S88" s="137" t="str">
        <f>IF(ISERROR(D88),"",IF(Dashboard!$E$11="","",IF($D88&gt;Dashboard!$E$11,$D88-Dashboard!$E$11,IF($D88="","","Target 2 ACHIEVED!"))))</f>
        <v/>
      </c>
      <c r="T88" s="137" t="str">
        <f t="shared" si="105"/>
        <v/>
      </c>
      <c r="U88" s="137" t="str">
        <f>IF(Dashboard!$E$12="","",IF(ISERROR(D88),"",IF($D88&gt;Dashboard!$E$12,$D88-Dashboard!$E$12,IF($D88="","","Target 3 ACHIEVED!"))))</f>
        <v/>
      </c>
      <c r="V88" s="137" t="str">
        <f t="shared" si="106"/>
        <v/>
      </c>
      <c r="W88" s="137" t="str">
        <f>IF(Dashboard!$E$13="","",IF(ISERROR(D88),"",IF($D88&gt;Dashboard!$E$13,$D88-Dashboard!$E$13,IF($D88="","","Target 4 ACHIEVED!"))))</f>
        <v/>
      </c>
      <c r="X88" s="137" t="str">
        <f t="shared" si="107"/>
        <v/>
      </c>
      <c r="Y88" s="137" t="str">
        <f>IF(ISERROR(D88),"",IF(Dashboard!$E$14="","",IF($D88&gt;Dashboard!$E$14,$D88-Dashboard!$E$14,IF($D88="","","Target ACHIEVED!"))))</f>
        <v/>
      </c>
      <c r="Z88" s="137" t="str">
        <f t="shared" si="108"/>
        <v/>
      </c>
      <c r="AA88" s="153" t="str">
        <f t="shared" si="109"/>
        <v/>
      </c>
    </row>
    <row r="89" spans="1:27" x14ac:dyDescent="0.2">
      <c r="A89" s="139" t="str">
        <f t="shared" si="98"/>
        <v/>
      </c>
      <c r="B89" s="140"/>
      <c r="C89" s="140"/>
      <c r="D89" s="141" t="e">
        <f t="shared" si="99"/>
        <v>#N/A</v>
      </c>
      <c r="E89" s="141" t="str">
        <f t="shared" si="100"/>
        <v/>
      </c>
      <c r="F89" s="141" t="str">
        <f>IF(Dashboard!$E$9="","",Dashboard!$E$9)</f>
        <v/>
      </c>
      <c r="G89" s="141" t="str">
        <f>IF(Dashboard!$E$10="","",Dashboard!$E$10)</f>
        <v/>
      </c>
      <c r="H89" s="141" t="str">
        <f>IF(Dashboard!$E$11="","",Dashboard!$E$11)</f>
        <v/>
      </c>
      <c r="I89" s="141" t="str">
        <f>IF(Dashboard!$E$12="","",Dashboard!$E$12)</f>
        <v/>
      </c>
      <c r="J89" s="141" t="str">
        <f>IF(Dashboard!$E$13="","",Dashboard!$E$13)</f>
        <v/>
      </c>
      <c r="K89" s="141" t="str">
        <f>IF(Dashboard!$E$14="","",Dashboard!$E$14)</f>
        <v/>
      </c>
      <c r="L89" s="141" t="str">
        <f t="shared" si="101"/>
        <v/>
      </c>
      <c r="M89" s="141" t="str">
        <f t="shared" si="102"/>
        <v/>
      </c>
      <c r="N89" s="142" t="str">
        <f>IF(ISERROR(D89),"",(D89*703)/(Dashboard!$E$6*Dashboard!$E$6))</f>
        <v/>
      </c>
      <c r="O89" s="141" t="str">
        <f>IF(ISERROR(D89),"",IF(D89&lt;=Dashboard!$P$5,"Club10 Achieved!",(Dashboard!$P$5-D89)*-1))</f>
        <v/>
      </c>
      <c r="P89" s="141" t="str">
        <f t="shared" si="103"/>
        <v/>
      </c>
      <c r="Q89" s="141" t="str">
        <f>IF(Dashboard!$E$10="","",IF(ISERROR(D89),"",IF($D89&gt;Dashboard!$E$10,$D89-Dashboard!$E$10,IF($D89="","","Target 1 ACHIEVED!"))))</f>
        <v/>
      </c>
      <c r="R89" s="141" t="str">
        <f t="shared" si="104"/>
        <v/>
      </c>
      <c r="S89" s="141" t="str">
        <f>IF(ISERROR(D89),"",IF(Dashboard!$E$11="","",IF($D89&gt;Dashboard!$E$11,$D89-Dashboard!$E$11,IF($D89="","","Target 2 ACHIEVED!"))))</f>
        <v/>
      </c>
      <c r="T89" s="141" t="str">
        <f t="shared" si="105"/>
        <v/>
      </c>
      <c r="U89" s="141" t="str">
        <f>IF(Dashboard!$E$12="","",IF(ISERROR(D89),"",IF($D89&gt;Dashboard!$E$12,$D89-Dashboard!$E$12,IF($D89="","","Target 3 ACHIEVED!"))))</f>
        <v/>
      </c>
      <c r="V89" s="141" t="str">
        <f t="shared" si="106"/>
        <v/>
      </c>
      <c r="W89" s="141" t="str">
        <f>IF(Dashboard!$E$13="","",IF(ISERROR(D89),"",IF($D89&gt;Dashboard!$E$13,$D89-Dashboard!$E$13,IF($D89="","","Target 4 ACHIEVED!"))))</f>
        <v/>
      </c>
      <c r="X89" s="141" t="str">
        <f t="shared" si="107"/>
        <v/>
      </c>
      <c r="Y89" s="141" t="str">
        <f>IF(ISERROR(D89),"",IF(Dashboard!$E$14="","",IF($D89&gt;Dashboard!$E$14,$D89-Dashboard!$E$14,IF($D89="","","Target ACHIEVED!"))))</f>
        <v/>
      </c>
      <c r="Z89" s="141" t="str">
        <f t="shared" si="108"/>
        <v/>
      </c>
      <c r="AA89" s="154" t="str">
        <f t="shared" si="109"/>
        <v/>
      </c>
    </row>
    <row r="90" spans="1:27" x14ac:dyDescent="0.2">
      <c r="A90" s="135" t="str">
        <f t="shared" si="98"/>
        <v/>
      </c>
      <c r="B90" s="136"/>
      <c r="C90" s="136"/>
      <c r="D90" s="137" t="e">
        <f t="shared" si="99"/>
        <v>#N/A</v>
      </c>
      <c r="E90" s="137" t="str">
        <f t="shared" si="100"/>
        <v/>
      </c>
      <c r="F90" s="137" t="str">
        <f>IF(Dashboard!$E$9="","",Dashboard!$E$9)</f>
        <v/>
      </c>
      <c r="G90" s="137" t="str">
        <f>IF(Dashboard!$E$10="","",Dashboard!$E$10)</f>
        <v/>
      </c>
      <c r="H90" s="137" t="str">
        <f>IF(Dashboard!$E$11="","",Dashboard!$E$11)</f>
        <v/>
      </c>
      <c r="I90" s="137" t="str">
        <f>IF(Dashboard!$E$12="","",Dashboard!$E$12)</f>
        <v/>
      </c>
      <c r="J90" s="137" t="str">
        <f>IF(Dashboard!$E$13="","",Dashboard!$E$13)</f>
        <v/>
      </c>
      <c r="K90" s="137" t="str">
        <f>IF(Dashboard!$E$14="","",Dashboard!$E$14)</f>
        <v/>
      </c>
      <c r="L90" s="137" t="str">
        <f t="shared" si="101"/>
        <v/>
      </c>
      <c r="M90" s="137" t="str">
        <f t="shared" si="102"/>
        <v/>
      </c>
      <c r="N90" s="138" t="str">
        <f>IF(ISERROR(D90),"",(D90*703)/(Dashboard!$E$6*Dashboard!$E$6))</f>
        <v/>
      </c>
      <c r="O90" s="137" t="str">
        <f>IF(ISERROR(D90),"",IF(D90&lt;=Dashboard!$P$5,"Club10 Achieved!",(Dashboard!$P$5-D90)*-1))</f>
        <v/>
      </c>
      <c r="P90" s="137" t="str">
        <f t="shared" si="103"/>
        <v/>
      </c>
      <c r="Q90" s="137" t="str">
        <f>IF(Dashboard!$E$10="","",IF(ISERROR(D90),"",IF($D90&gt;Dashboard!$E$10,$D90-Dashboard!$E$10,IF($D90="","","Target 1 ACHIEVED!"))))</f>
        <v/>
      </c>
      <c r="R90" s="137" t="str">
        <f t="shared" si="104"/>
        <v/>
      </c>
      <c r="S90" s="137" t="str">
        <f>IF(ISERROR(D90),"",IF(Dashboard!$E$11="","",IF($D90&gt;Dashboard!$E$11,$D90-Dashboard!$E$11,IF($D90="","","Target 2 ACHIEVED!"))))</f>
        <v/>
      </c>
      <c r="T90" s="137" t="str">
        <f t="shared" si="105"/>
        <v/>
      </c>
      <c r="U90" s="137" t="str">
        <f>IF(Dashboard!$E$12="","",IF(ISERROR(D90),"",IF($D90&gt;Dashboard!$E$12,$D90-Dashboard!$E$12,IF($D90="","","Target 3 ACHIEVED!"))))</f>
        <v/>
      </c>
      <c r="V90" s="137" t="str">
        <f t="shared" si="106"/>
        <v/>
      </c>
      <c r="W90" s="137" t="str">
        <f>IF(Dashboard!$E$13="","",IF(ISERROR(D90),"",IF($D90&gt;Dashboard!$E$13,$D90-Dashboard!$E$13,IF($D90="","","Target 4 ACHIEVED!"))))</f>
        <v/>
      </c>
      <c r="X90" s="137" t="str">
        <f t="shared" si="107"/>
        <v/>
      </c>
      <c r="Y90" s="137" t="str">
        <f>IF(ISERROR(D90),"",IF(Dashboard!$E$14="","",IF($D90&gt;Dashboard!$E$14,$D90-Dashboard!$E$14,IF($D90="","","Target ACHIEVED!"))))</f>
        <v/>
      </c>
      <c r="Z90" s="137" t="str">
        <f t="shared" si="108"/>
        <v/>
      </c>
      <c r="AA90" s="153" t="str">
        <f t="shared" si="109"/>
        <v/>
      </c>
    </row>
    <row r="91" spans="1:27" x14ac:dyDescent="0.2">
      <c r="A91" s="139" t="str">
        <f t="shared" si="98"/>
        <v/>
      </c>
      <c r="B91" s="140"/>
      <c r="C91" s="140"/>
      <c r="D91" s="141" t="e">
        <f t="shared" si="99"/>
        <v>#N/A</v>
      </c>
      <c r="E91" s="141" t="str">
        <f t="shared" si="100"/>
        <v/>
      </c>
      <c r="F91" s="141" t="str">
        <f>IF(Dashboard!$E$9="","",Dashboard!$E$9)</f>
        <v/>
      </c>
      <c r="G91" s="141" t="str">
        <f>IF(Dashboard!$E$10="","",Dashboard!$E$10)</f>
        <v/>
      </c>
      <c r="H91" s="141" t="str">
        <f>IF(Dashboard!$E$11="","",Dashboard!$E$11)</f>
        <v/>
      </c>
      <c r="I91" s="141" t="str">
        <f>IF(Dashboard!$E$12="","",Dashboard!$E$12)</f>
        <v/>
      </c>
      <c r="J91" s="141" t="str">
        <f>IF(Dashboard!$E$13="","",Dashboard!$E$13)</f>
        <v/>
      </c>
      <c r="K91" s="141" t="str">
        <f>IF(Dashboard!$E$14="","",Dashboard!$E$14)</f>
        <v/>
      </c>
      <c r="L91" s="141" t="str">
        <f t="shared" si="101"/>
        <v/>
      </c>
      <c r="M91" s="141" t="str">
        <f t="shared" si="102"/>
        <v/>
      </c>
      <c r="N91" s="142" t="str">
        <f>IF(ISERROR(D91),"",(D91*703)/(Dashboard!$E$6*Dashboard!$E$6))</f>
        <v/>
      </c>
      <c r="O91" s="141" t="str">
        <f>IF(ISERROR(D91),"",IF(D91&lt;=Dashboard!$P$5,"Club10 Achieved!",(Dashboard!$P$5-D91)*-1))</f>
        <v/>
      </c>
      <c r="P91" s="141" t="str">
        <f t="shared" si="103"/>
        <v/>
      </c>
      <c r="Q91" s="141" t="str">
        <f>IF(Dashboard!$E$10="","",IF(ISERROR(D91),"",IF($D91&gt;Dashboard!$E$10,$D91-Dashboard!$E$10,IF($D91="","","Target 1 ACHIEVED!"))))</f>
        <v/>
      </c>
      <c r="R91" s="141" t="str">
        <f t="shared" si="104"/>
        <v/>
      </c>
      <c r="S91" s="141" t="str">
        <f>IF(ISERROR(D91),"",IF(Dashboard!$E$11="","",IF($D91&gt;Dashboard!$E$11,$D91-Dashboard!$E$11,IF($D91="","","Target 2 ACHIEVED!"))))</f>
        <v/>
      </c>
      <c r="T91" s="141" t="str">
        <f t="shared" si="105"/>
        <v/>
      </c>
      <c r="U91" s="141" t="str">
        <f>IF(Dashboard!$E$12="","",IF(ISERROR(D91),"",IF($D91&gt;Dashboard!$E$12,$D91-Dashboard!$E$12,IF($D91="","","Target 3 ACHIEVED!"))))</f>
        <v/>
      </c>
      <c r="V91" s="141" t="str">
        <f t="shared" si="106"/>
        <v/>
      </c>
      <c r="W91" s="141" t="str">
        <f>IF(Dashboard!$E$13="","",IF(ISERROR(D91),"",IF($D91&gt;Dashboard!$E$13,$D91-Dashboard!$E$13,IF($D91="","","Target 4 ACHIEVED!"))))</f>
        <v/>
      </c>
      <c r="X91" s="141" t="str">
        <f t="shared" si="107"/>
        <v/>
      </c>
      <c r="Y91" s="141" t="str">
        <f>IF(ISERROR(D91),"",IF(Dashboard!$E$14="","",IF($D91&gt;Dashboard!$E$14,$D91-Dashboard!$E$14,IF($D91="","","Target ACHIEVED!"))))</f>
        <v/>
      </c>
      <c r="Z91" s="141" t="str">
        <f t="shared" si="108"/>
        <v/>
      </c>
      <c r="AA91" s="154" t="str">
        <f t="shared" si="109"/>
        <v/>
      </c>
    </row>
    <row r="92" spans="1:27" x14ac:dyDescent="0.2">
      <c r="A92" s="144" t="str">
        <f t="shared" si="98"/>
        <v/>
      </c>
      <c r="B92" s="145"/>
      <c r="C92" s="145"/>
      <c r="D92" s="146" t="e">
        <f t="shared" si="99"/>
        <v>#N/A</v>
      </c>
      <c r="E92" s="146" t="str">
        <f t="shared" si="100"/>
        <v/>
      </c>
      <c r="F92" s="146" t="str">
        <f>IF(Dashboard!$E$9="","",Dashboard!$E$9)</f>
        <v/>
      </c>
      <c r="G92" s="146" t="str">
        <f>IF(Dashboard!$E$10="","",Dashboard!$E$10)</f>
        <v/>
      </c>
      <c r="H92" s="146" t="str">
        <f>IF(Dashboard!$E$11="","",Dashboard!$E$11)</f>
        <v/>
      </c>
      <c r="I92" s="146" t="str">
        <f>IF(Dashboard!$E$12="","",Dashboard!$E$12)</f>
        <v/>
      </c>
      <c r="J92" s="146" t="str">
        <f>IF(Dashboard!$E$13="","",Dashboard!$E$13)</f>
        <v/>
      </c>
      <c r="K92" s="146" t="str">
        <f>IF(Dashboard!$E$14="","",Dashboard!$E$14)</f>
        <v/>
      </c>
      <c r="L92" s="146" t="str">
        <f t="shared" si="101"/>
        <v/>
      </c>
      <c r="M92" s="146" t="str">
        <f t="shared" si="102"/>
        <v/>
      </c>
      <c r="N92" s="147" t="str">
        <f>IF(ISERROR(D92),"",(D92*703)/(Dashboard!$E$6*Dashboard!$E$6))</f>
        <v/>
      </c>
      <c r="O92" s="146" t="str">
        <f>IF(ISERROR(D92),"",IF(D92&lt;=Dashboard!$P$5,"Club10 Achieved!",(Dashboard!$P$5-D92)*-1))</f>
        <v/>
      </c>
      <c r="P92" s="146" t="str">
        <f t="shared" si="103"/>
        <v/>
      </c>
      <c r="Q92" s="146" t="str">
        <f>IF(Dashboard!$E$10="","",IF(ISERROR(D92),"",IF($D92&gt;Dashboard!$E$10,$D92-Dashboard!$E$10,IF($D92="","","Target 1 ACHIEVED!"))))</f>
        <v/>
      </c>
      <c r="R92" s="146" t="str">
        <f t="shared" si="104"/>
        <v/>
      </c>
      <c r="S92" s="146" t="str">
        <f>IF(ISERROR(D92),"",IF(Dashboard!$E$11="","",IF($D92&gt;Dashboard!$E$11,$D92-Dashboard!$E$11,IF($D92="","","Target 2 ACHIEVED!"))))</f>
        <v/>
      </c>
      <c r="T92" s="146" t="str">
        <f t="shared" si="105"/>
        <v/>
      </c>
      <c r="U92" s="146" t="str">
        <f>IF(Dashboard!$E$12="","",IF(ISERROR(D92),"",IF($D92&gt;Dashboard!$E$12,$D92-Dashboard!$E$12,IF($D92="","","Target 3 ACHIEVED!"))))</f>
        <v/>
      </c>
      <c r="V92" s="146" t="str">
        <f t="shared" si="106"/>
        <v/>
      </c>
      <c r="W92" s="146" t="str">
        <f>IF(Dashboard!$E$13="","",IF(ISERROR(D92),"",IF($D92&gt;Dashboard!$E$13,$D92-Dashboard!$E$13,IF($D92="","","Target 4 ACHIEVED!"))))</f>
        <v/>
      </c>
      <c r="X92" s="146" t="str">
        <f t="shared" si="107"/>
        <v/>
      </c>
      <c r="Y92" s="146" t="str">
        <f>IF(ISERROR(D92),"",IF(Dashboard!$E$14="","",IF($D92&gt;Dashboard!$E$14,$D92-Dashboard!$E$14,IF($D92="","","Target ACHIEVED!"))))</f>
        <v/>
      </c>
      <c r="Z92" s="146" t="str">
        <f t="shared" si="108"/>
        <v/>
      </c>
      <c r="AA92" s="155" t="str">
        <f t="shared" si="109"/>
        <v/>
      </c>
    </row>
    <row r="93" spans="1:27" x14ac:dyDescent="0.2">
      <c r="A93" s="139" t="str">
        <f t="shared" ref="A93:A100" si="110">IF(ISERROR(D93),"",A92+7)</f>
        <v/>
      </c>
      <c r="B93" s="140"/>
      <c r="C93" s="140"/>
      <c r="D93" s="141" t="e">
        <f t="shared" ref="D93:D100" si="111">IF(B93="",NA(),(B93*14)+C93)</f>
        <v>#N/A</v>
      </c>
      <c r="E93" s="141" t="str">
        <f t="shared" ref="E93:E100" si="112">IF(ISERROR(D93),"",D93)</f>
        <v/>
      </c>
      <c r="F93" s="141" t="str">
        <f>IF(Dashboard!$E$9="","",Dashboard!$E$9)</f>
        <v/>
      </c>
      <c r="G93" s="141" t="str">
        <f>IF(Dashboard!$E$10="","",Dashboard!$E$10)</f>
        <v/>
      </c>
      <c r="H93" s="141" t="str">
        <f>IF(Dashboard!$E$11="","",Dashboard!$E$11)</f>
        <v/>
      </c>
      <c r="I93" s="141" t="str">
        <f>IF(Dashboard!$E$12="","",Dashboard!$E$12)</f>
        <v/>
      </c>
      <c r="J93" s="141" t="str">
        <f>IF(Dashboard!$E$13="","",Dashboard!$E$13)</f>
        <v/>
      </c>
      <c r="K93" s="141" t="str">
        <f>IF(Dashboard!$E$14="","",Dashboard!$E$14)</f>
        <v/>
      </c>
      <c r="L93" s="141" t="str">
        <f t="shared" ref="L93:L100" si="113">IF(ISERROR(D93),"",D93-D92)</f>
        <v/>
      </c>
      <c r="M93" s="141" t="str">
        <f t="shared" ref="M93:M100" si="114">IF(B93="","",$D$2-D93)</f>
        <v/>
      </c>
      <c r="N93" s="142" t="str">
        <f>IF(ISERROR(D93),"",(D93*703)/(Dashboard!$E$6*Dashboard!$E$6))</f>
        <v/>
      </c>
      <c r="O93" s="141" t="str">
        <f>IF(ISERROR(D93),"",IF(D93&lt;=Dashboard!$P$5,"Club10 Achieved!",(Dashboard!$P$5-D93)*-1))</f>
        <v/>
      </c>
      <c r="P93" s="141" t="str">
        <f t="shared" ref="P93:P100" si="115">IF(O93="","",IF(O93="Club10 Achieved!","Club10 Achieved!",CONCATENATE(ROUNDDOWN(O93/14,0)," st ",MOD(O93,14)," lbs")))</f>
        <v/>
      </c>
      <c r="Q93" s="141" t="str">
        <f>IF(Dashboard!$E$10="","",IF(ISERROR(D93),"",IF($D93&gt;Dashboard!$E$10,$D93-Dashboard!$E$10,IF($D93="","","Target 1 ACHIEVED!"))))</f>
        <v/>
      </c>
      <c r="R93" s="141" t="str">
        <f t="shared" ref="R93:R100" si="116">IF(Q93="","",IF(Q93="Target 1 ACHIEVED!","Target 1 ACHIEVED!",CONCATENATE(ROUNDDOWN(Q93/14,0)," st ",MOD(Q93,14)," lbs")))</f>
        <v/>
      </c>
      <c r="S93" s="141" t="str">
        <f>IF(ISERROR(D93),"",IF(Dashboard!$E$11="","",IF($D93&gt;Dashboard!$E$11,$D93-Dashboard!$E$11,IF($D93="","","Target 2 ACHIEVED!"))))</f>
        <v/>
      </c>
      <c r="T93" s="141" t="str">
        <f t="shared" ref="T93:T100" si="117">IF(S93="","",IF(S93="Target 2 ACHIEVED!","Target 2 ACHIEVED!",CONCATENATE(ROUNDDOWN(S93/14,0)," st ",MOD(S93,14)," lbs")))</f>
        <v/>
      </c>
      <c r="U93" s="141" t="str">
        <f>IF(Dashboard!$E$12="","",IF(ISERROR(D93),"",IF($D93&gt;Dashboard!$E$12,$D93-Dashboard!$E$12,IF($D93="","","Target 3 ACHIEVED!"))))</f>
        <v/>
      </c>
      <c r="V93" s="141" t="str">
        <f t="shared" ref="V93:V100" si="118">IF(U93="","",IF(U93="Target 3 ACHIEVED!","Target 3 ACHIEVED!",CONCATENATE(ROUNDDOWN(U93/14,0)," st ",MOD(U93,14)," lbs")))</f>
        <v/>
      </c>
      <c r="W93" s="141" t="str">
        <f>IF(Dashboard!$E$13="","",IF(ISERROR(D93),"",IF($D93&gt;Dashboard!$E$13,$D93-Dashboard!$E$13,IF($D93="","","Target 4 ACHIEVED!"))))</f>
        <v/>
      </c>
      <c r="X93" s="141" t="str">
        <f t="shared" ref="X93:X100" si="119">IF(W93="","",IF(W93="Target 4 ACHIEVED!","Target 4 ACHIEVED!",CONCATENATE(ROUNDDOWN(W93/14,0)," st ",MOD(W93,14)," lbs")))</f>
        <v/>
      </c>
      <c r="Y93" s="141" t="str">
        <f>IF(ISERROR(D93),"",IF(Dashboard!$E$14="","",IF($D93&gt;Dashboard!$E$14,$D93-Dashboard!$E$14,IF($D93="","","Target ACHIEVED!"))))</f>
        <v/>
      </c>
      <c r="Z93" s="141" t="str">
        <f t="shared" ref="Z93:Z100" si="120">IF(Y93="","",IF(Y93="Target ACHIEVED!","Target ACHIEVED!",CONCATENATE(ROUNDDOWN(Y93/14,0)," st ",MOD(Y93,14)," lbs")))</f>
        <v/>
      </c>
      <c r="AA93" s="154" t="str">
        <f t="shared" ref="AA93:AA100" si="121">IF((AND(M93&lt;=202.5,M93&gt;=196)),"14 STONE",
 IF((AND(M93&lt;=195.5,M93&gt;=189)),"13.5 STONE",
 IF((AND(M93&lt;=188.5,M93&gt;=182)),"13 STONE",
 IF((AND(M93&lt;=181.5,M93&gt;=175)),"12.5 STONE",
 IF((AND(M93&lt;=174.5,M93&gt;=168)),"12 STONE",
 IF((AND(M93&lt;=167.5,M93&gt;=161)),"11.5 STONE",
 IF((AND(M93&lt;=160.5,M93&gt;=154)),"11 STONE",
 IF((AND(M93&lt;=153.5,M93&gt;=147)),"10.5 STONE",
 IF((AND(M93&lt;=146.5,M93&gt;=140)),"10 STONE",
 IF((AND(M93&lt;=139.5,M93&gt;=133)),"9.5 STONE",
 IF((AND(M93&lt;=132.5,M93&gt;=126)),"9 STONE",
 IF((AND(M93&lt;=125.5,M93&gt;=119)),"8.5 STONE",
 IF((AND(M93&lt;=118.5,M93&gt;=112)),"8 STONE",
 IF((AND(M93&lt;=111.5,M93&gt;=105)),"7.5 STONE",
 IF((AND(M93&lt;=104.5,M93&gt;=98)),"7 STONE",
 IF((AND(M93&lt;=97.5,M93&gt;=91)),"6.5 STONE",
 IF((AND(M93&lt;=90.5,M93&gt;=84)),"6 STONE",
 IF((AND(M93&lt;=83.5,M93&gt;=77)),"5.5 STONE",
 IF((AND(M93&lt;=76.5,M93&gt;=70)),"5 STONE",
 IF((AND(M93&lt;=69.5,M93&gt;=63)),"4.5 STONE",
 IF((AND(M93&lt;=62.5,M93&gt;=56)),"4 STONE",
 IF((AND(M93&lt;=55.5,M93&gt;=49)),"3.5 STONE",
 IF((AND(M93&lt;=48.5,M93&gt;=42)),"3 STONE",
 IF((AND(M93&lt;=41.5,M93&gt;=35)),"2.5 STONE",
 IF((AND(M93&lt;=34.5,M93&gt;=28)),"2 STONE",
 IF((AND(M93&lt;=27.5,M93&gt;=21)),"1.5 STONE",
 IF((AND(M93&lt;=20.5,M93&gt;=14)),"1 STONE",
 IF((AND(M93&lt;=13.5,M93&gt;=7)),"0.5 STONE",
 IF((AND(M93&lt;=6.5,M93&gt;=0)),"",
 "")))))))))))))))))))))))))))))</f>
        <v/>
      </c>
    </row>
    <row r="94" spans="1:27" x14ac:dyDescent="0.2">
      <c r="A94" s="135" t="str">
        <f t="shared" si="110"/>
        <v/>
      </c>
      <c r="B94" s="136"/>
      <c r="C94" s="136"/>
      <c r="D94" s="137" t="e">
        <f t="shared" si="111"/>
        <v>#N/A</v>
      </c>
      <c r="E94" s="137" t="str">
        <f t="shared" si="112"/>
        <v/>
      </c>
      <c r="F94" s="137" t="str">
        <f>IF(Dashboard!$E$9="","",Dashboard!$E$9)</f>
        <v/>
      </c>
      <c r="G94" s="137" t="str">
        <f>IF(Dashboard!$E$10="","",Dashboard!$E$10)</f>
        <v/>
      </c>
      <c r="H94" s="137" t="str">
        <f>IF(Dashboard!$E$11="","",Dashboard!$E$11)</f>
        <v/>
      </c>
      <c r="I94" s="137" t="str">
        <f>IF(Dashboard!$E$12="","",Dashboard!$E$12)</f>
        <v/>
      </c>
      <c r="J94" s="137" t="str">
        <f>IF(Dashboard!$E$13="","",Dashboard!$E$13)</f>
        <v/>
      </c>
      <c r="K94" s="137" t="str">
        <f>IF(Dashboard!$E$14="","",Dashboard!$E$14)</f>
        <v/>
      </c>
      <c r="L94" s="137" t="str">
        <f t="shared" si="113"/>
        <v/>
      </c>
      <c r="M94" s="137" t="str">
        <f t="shared" si="114"/>
        <v/>
      </c>
      <c r="N94" s="138" t="str">
        <f>IF(ISERROR(D94),"",(D94*703)/(Dashboard!$E$6*Dashboard!$E$6))</f>
        <v/>
      </c>
      <c r="O94" s="137" t="str">
        <f>IF(ISERROR(D94),"",IF(D94&lt;=Dashboard!$P$5,"Club10 Achieved!",(Dashboard!$P$5-D94)*-1))</f>
        <v/>
      </c>
      <c r="P94" s="137" t="str">
        <f t="shared" si="115"/>
        <v/>
      </c>
      <c r="Q94" s="137" t="str">
        <f>IF(Dashboard!$E$10="","",IF(ISERROR(D94),"",IF($D94&gt;Dashboard!$E$10,$D94-Dashboard!$E$10,IF($D94="","","Target 1 ACHIEVED!"))))</f>
        <v/>
      </c>
      <c r="R94" s="137" t="str">
        <f t="shared" si="116"/>
        <v/>
      </c>
      <c r="S94" s="137" t="str">
        <f>IF(ISERROR(D94),"",IF(Dashboard!$E$11="","",IF($D94&gt;Dashboard!$E$11,$D94-Dashboard!$E$11,IF($D94="","","Target 2 ACHIEVED!"))))</f>
        <v/>
      </c>
      <c r="T94" s="137" t="str">
        <f t="shared" si="117"/>
        <v/>
      </c>
      <c r="U94" s="137" t="str">
        <f>IF(Dashboard!$E$12="","",IF(ISERROR(D94),"",IF($D94&gt;Dashboard!$E$12,$D94-Dashboard!$E$12,IF($D94="","","Target 3 ACHIEVED!"))))</f>
        <v/>
      </c>
      <c r="V94" s="137" t="str">
        <f t="shared" si="118"/>
        <v/>
      </c>
      <c r="W94" s="137" t="str">
        <f>IF(Dashboard!$E$13="","",IF(ISERROR(D94),"",IF($D94&gt;Dashboard!$E$13,$D94-Dashboard!$E$13,IF($D94="","","Target 4 ACHIEVED!"))))</f>
        <v/>
      </c>
      <c r="X94" s="137" t="str">
        <f t="shared" si="119"/>
        <v/>
      </c>
      <c r="Y94" s="137" t="str">
        <f>IF(ISERROR(D94),"",IF(Dashboard!$E$14="","",IF($D94&gt;Dashboard!$E$14,$D94-Dashboard!$E$14,IF($D94="","","Target ACHIEVED!"))))</f>
        <v/>
      </c>
      <c r="Z94" s="137" t="str">
        <f t="shared" si="120"/>
        <v/>
      </c>
      <c r="AA94" s="153" t="str">
        <f t="shared" si="121"/>
        <v/>
      </c>
    </row>
    <row r="95" spans="1:27" x14ac:dyDescent="0.2">
      <c r="A95" s="139" t="str">
        <f t="shared" si="110"/>
        <v/>
      </c>
      <c r="B95" s="140"/>
      <c r="C95" s="140"/>
      <c r="D95" s="141" t="e">
        <f t="shared" si="111"/>
        <v>#N/A</v>
      </c>
      <c r="E95" s="141" t="str">
        <f t="shared" si="112"/>
        <v/>
      </c>
      <c r="F95" s="141" t="str">
        <f>IF(Dashboard!$E$9="","",Dashboard!$E$9)</f>
        <v/>
      </c>
      <c r="G95" s="141" t="str">
        <f>IF(Dashboard!$E$10="","",Dashboard!$E$10)</f>
        <v/>
      </c>
      <c r="H95" s="141" t="str">
        <f>IF(Dashboard!$E$11="","",Dashboard!$E$11)</f>
        <v/>
      </c>
      <c r="I95" s="141" t="str">
        <f>IF(Dashboard!$E$12="","",Dashboard!$E$12)</f>
        <v/>
      </c>
      <c r="J95" s="141" t="str">
        <f>IF(Dashboard!$E$13="","",Dashboard!$E$13)</f>
        <v/>
      </c>
      <c r="K95" s="141" t="str">
        <f>IF(Dashboard!$E$14="","",Dashboard!$E$14)</f>
        <v/>
      </c>
      <c r="L95" s="141" t="str">
        <f t="shared" si="113"/>
        <v/>
      </c>
      <c r="M95" s="141" t="str">
        <f t="shared" si="114"/>
        <v/>
      </c>
      <c r="N95" s="142" t="str">
        <f>IF(ISERROR(D95),"",(D95*703)/(Dashboard!$E$6*Dashboard!$E$6))</f>
        <v/>
      </c>
      <c r="O95" s="141" t="str">
        <f>IF(ISERROR(D95),"",IF(D95&lt;=Dashboard!$P$5,"Club10 Achieved!",(Dashboard!$P$5-D95)*-1))</f>
        <v/>
      </c>
      <c r="P95" s="141" t="str">
        <f t="shared" si="115"/>
        <v/>
      </c>
      <c r="Q95" s="141" t="str">
        <f>IF(Dashboard!$E$10="","",IF(ISERROR(D95),"",IF($D95&gt;Dashboard!$E$10,$D95-Dashboard!$E$10,IF($D95="","","Target 1 ACHIEVED!"))))</f>
        <v/>
      </c>
      <c r="R95" s="141" t="str">
        <f t="shared" si="116"/>
        <v/>
      </c>
      <c r="S95" s="141" t="str">
        <f>IF(ISERROR(D95),"",IF(Dashboard!$E$11="","",IF($D95&gt;Dashboard!$E$11,$D95-Dashboard!$E$11,IF($D95="","","Target 2 ACHIEVED!"))))</f>
        <v/>
      </c>
      <c r="T95" s="141" t="str">
        <f t="shared" si="117"/>
        <v/>
      </c>
      <c r="U95" s="141" t="str">
        <f>IF(Dashboard!$E$12="","",IF(ISERROR(D95),"",IF($D95&gt;Dashboard!$E$12,$D95-Dashboard!$E$12,IF($D95="","","Target 3 ACHIEVED!"))))</f>
        <v/>
      </c>
      <c r="V95" s="141" t="str">
        <f t="shared" si="118"/>
        <v/>
      </c>
      <c r="W95" s="141" t="str">
        <f>IF(Dashboard!$E$13="","",IF(ISERROR(D95),"",IF($D95&gt;Dashboard!$E$13,$D95-Dashboard!$E$13,IF($D95="","","Target 4 ACHIEVED!"))))</f>
        <v/>
      </c>
      <c r="X95" s="141" t="str">
        <f t="shared" si="119"/>
        <v/>
      </c>
      <c r="Y95" s="141" t="str">
        <f>IF(ISERROR(D95),"",IF(Dashboard!$E$14="","",IF($D95&gt;Dashboard!$E$14,$D95-Dashboard!$E$14,IF($D95="","","Target ACHIEVED!"))))</f>
        <v/>
      </c>
      <c r="Z95" s="141" t="str">
        <f t="shared" si="120"/>
        <v/>
      </c>
      <c r="AA95" s="154" t="str">
        <f t="shared" si="121"/>
        <v/>
      </c>
    </row>
    <row r="96" spans="1:27" x14ac:dyDescent="0.2">
      <c r="A96" s="135" t="str">
        <f t="shared" si="110"/>
        <v/>
      </c>
      <c r="B96" s="136"/>
      <c r="C96" s="136"/>
      <c r="D96" s="137" t="e">
        <f t="shared" si="111"/>
        <v>#N/A</v>
      </c>
      <c r="E96" s="137" t="str">
        <f t="shared" si="112"/>
        <v/>
      </c>
      <c r="F96" s="137" t="str">
        <f>IF(Dashboard!$E$9="","",Dashboard!$E$9)</f>
        <v/>
      </c>
      <c r="G96" s="137" t="str">
        <f>IF(Dashboard!$E$10="","",Dashboard!$E$10)</f>
        <v/>
      </c>
      <c r="H96" s="137" t="str">
        <f>IF(Dashboard!$E$11="","",Dashboard!$E$11)</f>
        <v/>
      </c>
      <c r="I96" s="137" t="str">
        <f>IF(Dashboard!$E$12="","",Dashboard!$E$12)</f>
        <v/>
      </c>
      <c r="J96" s="137" t="str">
        <f>IF(Dashboard!$E$13="","",Dashboard!$E$13)</f>
        <v/>
      </c>
      <c r="K96" s="137" t="str">
        <f>IF(Dashboard!$E$14="","",Dashboard!$E$14)</f>
        <v/>
      </c>
      <c r="L96" s="137" t="str">
        <f t="shared" si="113"/>
        <v/>
      </c>
      <c r="M96" s="137" t="str">
        <f t="shared" si="114"/>
        <v/>
      </c>
      <c r="N96" s="138" t="str">
        <f>IF(ISERROR(D96),"",(D96*703)/(Dashboard!$E$6*Dashboard!$E$6))</f>
        <v/>
      </c>
      <c r="O96" s="137" t="str">
        <f>IF(ISERROR(D96),"",IF(D96&lt;=Dashboard!$P$5,"Club10 Achieved!",(Dashboard!$P$5-D96)*-1))</f>
        <v/>
      </c>
      <c r="P96" s="137" t="str">
        <f t="shared" si="115"/>
        <v/>
      </c>
      <c r="Q96" s="137" t="str">
        <f>IF(Dashboard!$E$10="","",IF(ISERROR(D96),"",IF($D96&gt;Dashboard!$E$10,$D96-Dashboard!$E$10,IF($D96="","","Target 1 ACHIEVED!"))))</f>
        <v/>
      </c>
      <c r="R96" s="137" t="str">
        <f t="shared" si="116"/>
        <v/>
      </c>
      <c r="S96" s="137" t="str">
        <f>IF(ISERROR(D96),"",IF(Dashboard!$E$11="","",IF($D96&gt;Dashboard!$E$11,$D96-Dashboard!$E$11,IF($D96="","","Target 2 ACHIEVED!"))))</f>
        <v/>
      </c>
      <c r="T96" s="137" t="str">
        <f t="shared" si="117"/>
        <v/>
      </c>
      <c r="U96" s="137" t="str">
        <f>IF(Dashboard!$E$12="","",IF(ISERROR(D96),"",IF($D96&gt;Dashboard!$E$12,$D96-Dashboard!$E$12,IF($D96="","","Target 3 ACHIEVED!"))))</f>
        <v/>
      </c>
      <c r="V96" s="137" t="str">
        <f t="shared" si="118"/>
        <v/>
      </c>
      <c r="W96" s="137" t="str">
        <f>IF(Dashboard!$E$13="","",IF(ISERROR(D96),"",IF($D96&gt;Dashboard!$E$13,$D96-Dashboard!$E$13,IF($D96="","","Target 4 ACHIEVED!"))))</f>
        <v/>
      </c>
      <c r="X96" s="137" t="str">
        <f t="shared" si="119"/>
        <v/>
      </c>
      <c r="Y96" s="137" t="str">
        <f>IF(ISERROR(D96),"",IF(Dashboard!$E$14="","",IF($D96&gt;Dashboard!$E$14,$D96-Dashboard!$E$14,IF($D96="","","Target ACHIEVED!"))))</f>
        <v/>
      </c>
      <c r="Z96" s="137" t="str">
        <f t="shared" si="120"/>
        <v/>
      </c>
      <c r="AA96" s="153" t="str">
        <f t="shared" si="121"/>
        <v/>
      </c>
    </row>
    <row r="97" spans="1:27" x14ac:dyDescent="0.2">
      <c r="A97" s="139" t="str">
        <f t="shared" si="110"/>
        <v/>
      </c>
      <c r="B97" s="140"/>
      <c r="C97" s="140"/>
      <c r="D97" s="141" t="e">
        <f t="shared" si="111"/>
        <v>#N/A</v>
      </c>
      <c r="E97" s="141" t="str">
        <f t="shared" si="112"/>
        <v/>
      </c>
      <c r="F97" s="141" t="str">
        <f>IF(Dashboard!$E$9="","",Dashboard!$E$9)</f>
        <v/>
      </c>
      <c r="G97" s="141" t="str">
        <f>IF(Dashboard!$E$10="","",Dashboard!$E$10)</f>
        <v/>
      </c>
      <c r="H97" s="141" t="str">
        <f>IF(Dashboard!$E$11="","",Dashboard!$E$11)</f>
        <v/>
      </c>
      <c r="I97" s="141" t="str">
        <f>IF(Dashboard!$E$12="","",Dashboard!$E$12)</f>
        <v/>
      </c>
      <c r="J97" s="141" t="str">
        <f>IF(Dashboard!$E$13="","",Dashboard!$E$13)</f>
        <v/>
      </c>
      <c r="K97" s="141" t="str">
        <f>IF(Dashboard!$E$14="","",Dashboard!$E$14)</f>
        <v/>
      </c>
      <c r="L97" s="141" t="str">
        <f t="shared" si="113"/>
        <v/>
      </c>
      <c r="M97" s="141" t="str">
        <f t="shared" si="114"/>
        <v/>
      </c>
      <c r="N97" s="142" t="str">
        <f>IF(ISERROR(D97),"",(D97*703)/(Dashboard!$E$6*Dashboard!$E$6))</f>
        <v/>
      </c>
      <c r="O97" s="141" t="str">
        <f>IF(ISERROR(D97),"",IF(D97&lt;=Dashboard!$P$5,"Club10 Achieved!",(Dashboard!$P$5-D97)*-1))</f>
        <v/>
      </c>
      <c r="P97" s="141" t="str">
        <f t="shared" si="115"/>
        <v/>
      </c>
      <c r="Q97" s="141" t="str">
        <f>IF(Dashboard!$E$10="","",IF(ISERROR(D97),"",IF($D97&gt;Dashboard!$E$10,$D97-Dashboard!$E$10,IF($D97="","","Target 1 ACHIEVED!"))))</f>
        <v/>
      </c>
      <c r="R97" s="141" t="str">
        <f t="shared" si="116"/>
        <v/>
      </c>
      <c r="S97" s="141" t="str">
        <f>IF(ISERROR(D97),"",IF(Dashboard!$E$11="","",IF($D97&gt;Dashboard!$E$11,$D97-Dashboard!$E$11,IF($D97="","","Target 2 ACHIEVED!"))))</f>
        <v/>
      </c>
      <c r="T97" s="141" t="str">
        <f t="shared" si="117"/>
        <v/>
      </c>
      <c r="U97" s="141" t="str">
        <f>IF(Dashboard!$E$12="","",IF(ISERROR(D97),"",IF($D97&gt;Dashboard!$E$12,$D97-Dashboard!$E$12,IF($D97="","","Target 3 ACHIEVED!"))))</f>
        <v/>
      </c>
      <c r="V97" s="141" t="str">
        <f t="shared" si="118"/>
        <v/>
      </c>
      <c r="W97" s="141" t="str">
        <f>IF(Dashboard!$E$13="","",IF(ISERROR(D97),"",IF($D97&gt;Dashboard!$E$13,$D97-Dashboard!$E$13,IF($D97="","","Target 4 ACHIEVED!"))))</f>
        <v/>
      </c>
      <c r="X97" s="141" t="str">
        <f t="shared" si="119"/>
        <v/>
      </c>
      <c r="Y97" s="141" t="str">
        <f>IF(ISERROR(D97),"",IF(Dashboard!$E$14="","",IF($D97&gt;Dashboard!$E$14,$D97-Dashboard!$E$14,IF($D97="","","Target ACHIEVED!"))))</f>
        <v/>
      </c>
      <c r="Z97" s="141" t="str">
        <f t="shared" si="120"/>
        <v/>
      </c>
      <c r="AA97" s="154" t="str">
        <f t="shared" si="121"/>
        <v/>
      </c>
    </row>
    <row r="98" spans="1:27" x14ac:dyDescent="0.2">
      <c r="A98" s="135" t="str">
        <f t="shared" si="110"/>
        <v/>
      </c>
      <c r="B98" s="136"/>
      <c r="C98" s="136"/>
      <c r="D98" s="137" t="e">
        <f t="shared" si="111"/>
        <v>#N/A</v>
      </c>
      <c r="E98" s="137" t="str">
        <f t="shared" si="112"/>
        <v/>
      </c>
      <c r="F98" s="137" t="str">
        <f>IF(Dashboard!$E$9="","",Dashboard!$E$9)</f>
        <v/>
      </c>
      <c r="G98" s="137" t="str">
        <f>IF(Dashboard!$E$10="","",Dashboard!$E$10)</f>
        <v/>
      </c>
      <c r="H98" s="137" t="str">
        <f>IF(Dashboard!$E$11="","",Dashboard!$E$11)</f>
        <v/>
      </c>
      <c r="I98" s="137" t="str">
        <f>IF(Dashboard!$E$12="","",Dashboard!$E$12)</f>
        <v/>
      </c>
      <c r="J98" s="137" t="str">
        <f>IF(Dashboard!$E$13="","",Dashboard!$E$13)</f>
        <v/>
      </c>
      <c r="K98" s="137" t="str">
        <f>IF(Dashboard!$E$14="","",Dashboard!$E$14)</f>
        <v/>
      </c>
      <c r="L98" s="137" t="str">
        <f t="shared" si="113"/>
        <v/>
      </c>
      <c r="M98" s="137" t="str">
        <f t="shared" si="114"/>
        <v/>
      </c>
      <c r="N98" s="138" t="str">
        <f>IF(ISERROR(D98),"",(D98*703)/(Dashboard!$E$6*Dashboard!$E$6))</f>
        <v/>
      </c>
      <c r="O98" s="137" t="str">
        <f>IF(ISERROR(D98),"",IF(D98&lt;=Dashboard!$P$5,"Club10 Achieved!",(Dashboard!$P$5-D98)*-1))</f>
        <v/>
      </c>
      <c r="P98" s="137" t="str">
        <f t="shared" si="115"/>
        <v/>
      </c>
      <c r="Q98" s="137" t="str">
        <f>IF(Dashboard!$E$10="","",IF(ISERROR(D98),"",IF($D98&gt;Dashboard!$E$10,$D98-Dashboard!$E$10,IF($D98="","","Target 1 ACHIEVED!"))))</f>
        <v/>
      </c>
      <c r="R98" s="137" t="str">
        <f t="shared" si="116"/>
        <v/>
      </c>
      <c r="S98" s="137" t="str">
        <f>IF(ISERROR(D98),"",IF(Dashboard!$E$11="","",IF($D98&gt;Dashboard!$E$11,$D98-Dashboard!$E$11,IF($D98="","","Target 2 ACHIEVED!"))))</f>
        <v/>
      </c>
      <c r="T98" s="137" t="str">
        <f t="shared" si="117"/>
        <v/>
      </c>
      <c r="U98" s="137" t="str">
        <f>IF(Dashboard!$E$12="","",IF(ISERROR(D98),"",IF($D98&gt;Dashboard!$E$12,$D98-Dashboard!$E$12,IF($D98="","","Target 3 ACHIEVED!"))))</f>
        <v/>
      </c>
      <c r="V98" s="137" t="str">
        <f t="shared" si="118"/>
        <v/>
      </c>
      <c r="W98" s="137" t="str">
        <f>IF(Dashboard!$E$13="","",IF(ISERROR(D98),"",IF($D98&gt;Dashboard!$E$13,$D98-Dashboard!$E$13,IF($D98="","","Target 4 ACHIEVED!"))))</f>
        <v/>
      </c>
      <c r="X98" s="137" t="str">
        <f t="shared" si="119"/>
        <v/>
      </c>
      <c r="Y98" s="137" t="str">
        <f>IF(ISERROR(D98),"",IF(Dashboard!$E$14="","",IF($D98&gt;Dashboard!$E$14,$D98-Dashboard!$E$14,IF($D98="","","Target ACHIEVED!"))))</f>
        <v/>
      </c>
      <c r="Z98" s="137" t="str">
        <f t="shared" si="120"/>
        <v/>
      </c>
      <c r="AA98" s="153" t="str">
        <f t="shared" si="121"/>
        <v/>
      </c>
    </row>
    <row r="99" spans="1:27" x14ac:dyDescent="0.2">
      <c r="A99" s="139" t="str">
        <f t="shared" si="110"/>
        <v/>
      </c>
      <c r="B99" s="140"/>
      <c r="C99" s="140"/>
      <c r="D99" s="141" t="e">
        <f t="shared" si="111"/>
        <v>#N/A</v>
      </c>
      <c r="E99" s="141" t="str">
        <f t="shared" si="112"/>
        <v/>
      </c>
      <c r="F99" s="141" t="str">
        <f>IF(Dashboard!$E$9="","",Dashboard!$E$9)</f>
        <v/>
      </c>
      <c r="G99" s="141" t="str">
        <f>IF(Dashboard!$E$10="","",Dashboard!$E$10)</f>
        <v/>
      </c>
      <c r="H99" s="141" t="str">
        <f>IF(Dashboard!$E$11="","",Dashboard!$E$11)</f>
        <v/>
      </c>
      <c r="I99" s="141" t="str">
        <f>IF(Dashboard!$E$12="","",Dashboard!$E$12)</f>
        <v/>
      </c>
      <c r="J99" s="141" t="str">
        <f>IF(Dashboard!$E$13="","",Dashboard!$E$13)</f>
        <v/>
      </c>
      <c r="K99" s="141" t="str">
        <f>IF(Dashboard!$E$14="","",Dashboard!$E$14)</f>
        <v/>
      </c>
      <c r="L99" s="141" t="str">
        <f t="shared" si="113"/>
        <v/>
      </c>
      <c r="M99" s="141" t="str">
        <f t="shared" si="114"/>
        <v/>
      </c>
      <c r="N99" s="142" t="str">
        <f>IF(ISERROR(D99),"",(D99*703)/(Dashboard!$E$6*Dashboard!$E$6))</f>
        <v/>
      </c>
      <c r="O99" s="141" t="str">
        <f>IF(ISERROR(D99),"",IF(D99&lt;=Dashboard!$P$5,"Club10 Achieved!",(Dashboard!$P$5-D99)*-1))</f>
        <v/>
      </c>
      <c r="P99" s="141" t="str">
        <f t="shared" si="115"/>
        <v/>
      </c>
      <c r="Q99" s="141" t="str">
        <f>IF(Dashboard!$E$10="","",IF(ISERROR(D99),"",IF($D99&gt;Dashboard!$E$10,$D99-Dashboard!$E$10,IF($D99="","","Target 1 ACHIEVED!"))))</f>
        <v/>
      </c>
      <c r="R99" s="141" t="str">
        <f t="shared" si="116"/>
        <v/>
      </c>
      <c r="S99" s="141" t="str">
        <f>IF(ISERROR(D99),"",IF(Dashboard!$E$11="","",IF($D99&gt;Dashboard!$E$11,$D99-Dashboard!$E$11,IF($D99="","","Target 2 ACHIEVED!"))))</f>
        <v/>
      </c>
      <c r="T99" s="141" t="str">
        <f t="shared" si="117"/>
        <v/>
      </c>
      <c r="U99" s="141" t="str">
        <f>IF(Dashboard!$E$12="","",IF(ISERROR(D99),"",IF($D99&gt;Dashboard!$E$12,$D99-Dashboard!$E$12,IF($D99="","","Target 3 ACHIEVED!"))))</f>
        <v/>
      </c>
      <c r="V99" s="141" t="str">
        <f t="shared" si="118"/>
        <v/>
      </c>
      <c r="W99" s="141" t="str">
        <f>IF(Dashboard!$E$13="","",IF(ISERROR(D99),"",IF($D99&gt;Dashboard!$E$13,$D99-Dashboard!$E$13,IF($D99="","","Target 4 ACHIEVED!"))))</f>
        <v/>
      </c>
      <c r="X99" s="141" t="str">
        <f t="shared" si="119"/>
        <v/>
      </c>
      <c r="Y99" s="141" t="str">
        <f>IF(ISERROR(D99),"",IF(Dashboard!$E$14="","",IF($D99&gt;Dashboard!$E$14,$D99-Dashboard!$E$14,IF($D99="","","Target ACHIEVED!"))))</f>
        <v/>
      </c>
      <c r="Z99" s="141" t="str">
        <f t="shared" si="120"/>
        <v/>
      </c>
      <c r="AA99" s="154" t="str">
        <f t="shared" si="121"/>
        <v/>
      </c>
    </row>
    <row r="100" spans="1:27" x14ac:dyDescent="0.2">
      <c r="A100" s="144" t="str">
        <f t="shared" si="110"/>
        <v/>
      </c>
      <c r="B100" s="145"/>
      <c r="C100" s="145"/>
      <c r="D100" s="146" t="e">
        <f t="shared" si="111"/>
        <v>#N/A</v>
      </c>
      <c r="E100" s="146" t="str">
        <f t="shared" si="112"/>
        <v/>
      </c>
      <c r="F100" s="146" t="str">
        <f>IF(Dashboard!$E$9="","",Dashboard!$E$9)</f>
        <v/>
      </c>
      <c r="G100" s="146" t="str">
        <f>IF(Dashboard!$E$10="","",Dashboard!$E$10)</f>
        <v/>
      </c>
      <c r="H100" s="146" t="str">
        <f>IF(Dashboard!$E$11="","",Dashboard!$E$11)</f>
        <v/>
      </c>
      <c r="I100" s="146" t="str">
        <f>IF(Dashboard!$E$12="","",Dashboard!$E$12)</f>
        <v/>
      </c>
      <c r="J100" s="146" t="str">
        <f>IF(Dashboard!$E$13="","",Dashboard!$E$13)</f>
        <v/>
      </c>
      <c r="K100" s="146" t="str">
        <f>IF(Dashboard!$E$14="","",Dashboard!$E$14)</f>
        <v/>
      </c>
      <c r="L100" s="146" t="str">
        <f t="shared" si="113"/>
        <v/>
      </c>
      <c r="M100" s="146" t="str">
        <f t="shared" si="114"/>
        <v/>
      </c>
      <c r="N100" s="147" t="str">
        <f>IF(ISERROR(D100),"",(D100*703)/(Dashboard!$E$6*Dashboard!$E$6))</f>
        <v/>
      </c>
      <c r="O100" s="146" t="str">
        <f>IF(ISERROR(D100),"",IF(D100&lt;=Dashboard!$P$5,"Club10 Achieved!",(Dashboard!$P$5-D100)*-1))</f>
        <v/>
      </c>
      <c r="P100" s="146" t="str">
        <f t="shared" si="115"/>
        <v/>
      </c>
      <c r="Q100" s="146" t="str">
        <f>IF(Dashboard!$E$10="","",IF(ISERROR(D100),"",IF($D100&gt;Dashboard!$E$10,$D100-Dashboard!$E$10,IF($D100="","","Target 1 ACHIEVED!"))))</f>
        <v/>
      </c>
      <c r="R100" s="146" t="str">
        <f t="shared" si="116"/>
        <v/>
      </c>
      <c r="S100" s="146" t="str">
        <f>IF(ISERROR(D100),"",IF(Dashboard!$E$11="","",IF($D100&gt;Dashboard!$E$11,$D100-Dashboard!$E$11,IF($D100="","","Target 2 ACHIEVED!"))))</f>
        <v/>
      </c>
      <c r="T100" s="146" t="str">
        <f t="shared" si="117"/>
        <v/>
      </c>
      <c r="U100" s="146" t="str">
        <f>IF(Dashboard!$E$12="","",IF(ISERROR(D100),"",IF($D100&gt;Dashboard!$E$12,$D100-Dashboard!$E$12,IF($D100="","","Target 3 ACHIEVED!"))))</f>
        <v/>
      </c>
      <c r="V100" s="146" t="str">
        <f t="shared" si="118"/>
        <v/>
      </c>
      <c r="W100" s="146" t="str">
        <f>IF(Dashboard!$E$13="","",IF(ISERROR(D100),"",IF($D100&gt;Dashboard!$E$13,$D100-Dashboard!$E$13,IF($D100="","","Target 4 ACHIEVED!"))))</f>
        <v/>
      </c>
      <c r="X100" s="146" t="str">
        <f t="shared" si="119"/>
        <v/>
      </c>
      <c r="Y100" s="146" t="str">
        <f>IF(ISERROR(D100),"",IF(Dashboard!$E$14="","",IF($D100&gt;Dashboard!$E$14,$D100-Dashboard!$E$14,IF($D100="","","Target ACHIEVED!"))))</f>
        <v/>
      </c>
      <c r="Z100" s="146" t="str">
        <f t="shared" si="120"/>
        <v/>
      </c>
      <c r="AA100" s="155" t="str">
        <f t="shared" si="121"/>
        <v/>
      </c>
    </row>
  </sheetData>
  <sheetProtection formatCells="0" formatColumns="0" formatRows="0" insertColumns="0" insertRows="0" deleteRows="0"/>
  <conditionalFormatting sqref="L1">
    <cfRule type="containsText" dxfId="109" priority="61" operator="containsText" text="&quot;Weight Change&quot;">
      <formula>NOT(ISERROR(SEARCH("""Weight Change""",L1)))</formula>
    </cfRule>
  </conditionalFormatting>
  <conditionalFormatting sqref="L2:L14">
    <cfRule type="cellIs" dxfId="108" priority="64" operator="greaterThan">
      <formula>0</formula>
    </cfRule>
    <cfRule type="cellIs" dxfId="107" priority="65" operator="lessThanOrEqual">
      <formula>0</formula>
    </cfRule>
  </conditionalFormatting>
  <conditionalFormatting sqref="N2:N14">
    <cfRule type="cellIs" dxfId="106" priority="67" operator="greaterThan">
      <formula>30.01</formula>
    </cfRule>
    <cfRule type="cellIs" dxfId="105" priority="68" operator="between">
      <formula>25.01</formula>
      <formula>30</formula>
    </cfRule>
    <cfRule type="cellIs" dxfId="104" priority="69" operator="between">
      <formula>19</formula>
      <formula>25</formula>
    </cfRule>
    <cfRule type="cellIs" dxfId="103" priority="70" operator="lessThan">
      <formula>19</formula>
    </cfRule>
  </conditionalFormatting>
  <conditionalFormatting sqref="L15:L26">
    <cfRule type="cellIs" dxfId="102" priority="55" operator="greaterThan">
      <formula>0</formula>
    </cfRule>
    <cfRule type="cellIs" dxfId="101" priority="56" operator="lessThanOrEqual">
      <formula>0</formula>
    </cfRule>
  </conditionalFormatting>
  <conditionalFormatting sqref="N15:N26">
    <cfRule type="cellIs" dxfId="100" priority="57" operator="greaterThan">
      <formula>30.01</formula>
    </cfRule>
    <cfRule type="cellIs" dxfId="99" priority="58" operator="between">
      <formula>25.01</formula>
      <formula>30</formula>
    </cfRule>
    <cfRule type="cellIs" dxfId="98" priority="59" operator="between">
      <formula>19</formula>
      <formula>25</formula>
    </cfRule>
    <cfRule type="cellIs" dxfId="97" priority="60" operator="lessThan">
      <formula>19</formula>
    </cfRule>
  </conditionalFormatting>
  <conditionalFormatting sqref="L27:L38">
    <cfRule type="cellIs" dxfId="96" priority="49" operator="greaterThan">
      <formula>0</formula>
    </cfRule>
    <cfRule type="cellIs" dxfId="95" priority="50" operator="lessThanOrEqual">
      <formula>0</formula>
    </cfRule>
  </conditionalFormatting>
  <conditionalFormatting sqref="N27:N38">
    <cfRule type="cellIs" dxfId="94" priority="51" operator="greaterThan">
      <formula>30.01</formula>
    </cfRule>
    <cfRule type="cellIs" dxfId="93" priority="52" operator="between">
      <formula>25.01</formula>
      <formula>30</formula>
    </cfRule>
    <cfRule type="cellIs" dxfId="92" priority="53" operator="between">
      <formula>19</formula>
      <formula>25</formula>
    </cfRule>
    <cfRule type="cellIs" dxfId="91" priority="54" operator="lessThan">
      <formula>19</formula>
    </cfRule>
  </conditionalFormatting>
  <conditionalFormatting sqref="L39:L50">
    <cfRule type="cellIs" dxfId="90" priority="43" operator="greaterThan">
      <formula>0</formula>
    </cfRule>
    <cfRule type="cellIs" dxfId="89" priority="44" operator="lessThanOrEqual">
      <formula>0</formula>
    </cfRule>
  </conditionalFormatting>
  <conditionalFormatting sqref="N39:N50">
    <cfRule type="cellIs" dxfId="88" priority="45" operator="greaterThan">
      <formula>30.01</formula>
    </cfRule>
    <cfRule type="cellIs" dxfId="87" priority="46" operator="between">
      <formula>25.01</formula>
      <formula>30</formula>
    </cfRule>
    <cfRule type="cellIs" dxfId="86" priority="47" operator="between">
      <formula>19</formula>
      <formula>25</formula>
    </cfRule>
    <cfRule type="cellIs" dxfId="85" priority="48" operator="lessThan">
      <formula>19</formula>
    </cfRule>
  </conditionalFormatting>
  <conditionalFormatting sqref="L51:L58">
    <cfRule type="cellIs" dxfId="84" priority="37" operator="greaterThan">
      <formula>0</formula>
    </cfRule>
    <cfRule type="cellIs" dxfId="83" priority="38" operator="lessThanOrEqual">
      <formula>0</formula>
    </cfRule>
  </conditionalFormatting>
  <conditionalFormatting sqref="N51:N58">
    <cfRule type="cellIs" dxfId="82" priority="39" operator="greaterThan">
      <formula>30.01</formula>
    </cfRule>
    <cfRule type="cellIs" dxfId="81" priority="40" operator="between">
      <formula>25.01</formula>
      <formula>30</formula>
    </cfRule>
    <cfRule type="cellIs" dxfId="80" priority="41" operator="between">
      <formula>19</formula>
      <formula>25</formula>
    </cfRule>
    <cfRule type="cellIs" dxfId="79" priority="42" operator="lessThan">
      <formula>19</formula>
    </cfRule>
  </conditionalFormatting>
  <conditionalFormatting sqref="L59:L60">
    <cfRule type="cellIs" dxfId="78" priority="31" operator="greaterThan">
      <formula>0</formula>
    </cfRule>
    <cfRule type="cellIs" dxfId="77" priority="32" operator="lessThanOrEqual">
      <formula>0</formula>
    </cfRule>
  </conditionalFormatting>
  <conditionalFormatting sqref="N59:N60">
    <cfRule type="cellIs" dxfId="76" priority="33" operator="greaterThan">
      <formula>30.01</formula>
    </cfRule>
    <cfRule type="cellIs" dxfId="75" priority="34" operator="between">
      <formula>25.01</formula>
      <formula>30</formula>
    </cfRule>
    <cfRule type="cellIs" dxfId="74" priority="35" operator="between">
      <formula>19</formula>
      <formula>25</formula>
    </cfRule>
    <cfRule type="cellIs" dxfId="73" priority="36" operator="lessThan">
      <formula>19</formula>
    </cfRule>
  </conditionalFormatting>
  <conditionalFormatting sqref="L61:L68">
    <cfRule type="cellIs" dxfId="72" priority="25" operator="greaterThan">
      <formula>0</formula>
    </cfRule>
    <cfRule type="cellIs" dxfId="71" priority="26" operator="lessThanOrEqual">
      <formula>0</formula>
    </cfRule>
  </conditionalFormatting>
  <conditionalFormatting sqref="N61:N68">
    <cfRule type="cellIs" dxfId="70" priority="27" operator="greaterThan">
      <formula>30.01</formula>
    </cfRule>
    <cfRule type="cellIs" dxfId="69" priority="28" operator="between">
      <formula>25.01</formula>
      <formula>30</formula>
    </cfRule>
    <cfRule type="cellIs" dxfId="68" priority="29" operator="between">
      <formula>19</formula>
      <formula>25</formula>
    </cfRule>
    <cfRule type="cellIs" dxfId="67" priority="30" operator="lessThan">
      <formula>19</formula>
    </cfRule>
  </conditionalFormatting>
  <conditionalFormatting sqref="L69:L76">
    <cfRule type="cellIs" dxfId="66" priority="19" operator="greaterThan">
      <formula>0</formula>
    </cfRule>
    <cfRule type="cellIs" dxfId="65" priority="20" operator="lessThanOrEqual">
      <formula>0</formula>
    </cfRule>
  </conditionalFormatting>
  <conditionalFormatting sqref="N69:N76">
    <cfRule type="cellIs" dxfId="64" priority="21" operator="greaterThan">
      <formula>30.01</formula>
    </cfRule>
    <cfRule type="cellIs" dxfId="63" priority="22" operator="between">
      <formula>25.01</formula>
      <formula>30</formula>
    </cfRule>
    <cfRule type="cellIs" dxfId="62" priority="23" operator="between">
      <formula>19</formula>
      <formula>25</formula>
    </cfRule>
    <cfRule type="cellIs" dxfId="61" priority="24" operator="lessThan">
      <formula>19</formula>
    </cfRule>
  </conditionalFormatting>
  <conditionalFormatting sqref="L77:L84">
    <cfRule type="cellIs" dxfId="60" priority="13" operator="greaterThan">
      <formula>0</formula>
    </cfRule>
    <cfRule type="cellIs" dxfId="59" priority="14" operator="lessThanOrEqual">
      <formula>0</formula>
    </cfRule>
  </conditionalFormatting>
  <conditionalFormatting sqref="N77:N84">
    <cfRule type="cellIs" dxfId="58" priority="15" operator="greaterThan">
      <formula>30.01</formula>
    </cfRule>
    <cfRule type="cellIs" dxfId="57" priority="16" operator="between">
      <formula>25.01</formula>
      <formula>30</formula>
    </cfRule>
    <cfRule type="cellIs" dxfId="56" priority="17" operator="between">
      <formula>19</formula>
      <formula>25</formula>
    </cfRule>
    <cfRule type="cellIs" dxfId="55" priority="18" operator="lessThan">
      <formula>19</formula>
    </cfRule>
  </conditionalFormatting>
  <conditionalFormatting sqref="L85:L92">
    <cfRule type="cellIs" dxfId="54" priority="7" operator="greaterThan">
      <formula>0</formula>
    </cfRule>
    <cfRule type="cellIs" dxfId="53" priority="8" operator="lessThanOrEqual">
      <formula>0</formula>
    </cfRule>
  </conditionalFormatting>
  <conditionalFormatting sqref="N85:N92">
    <cfRule type="cellIs" dxfId="52" priority="9" operator="greaterThan">
      <formula>30.01</formula>
    </cfRule>
    <cfRule type="cellIs" dxfId="51" priority="10" operator="between">
      <formula>25.01</formula>
      <formula>30</formula>
    </cfRule>
    <cfRule type="cellIs" dxfId="50" priority="11" operator="between">
      <formula>19</formula>
      <formula>25</formula>
    </cfRule>
    <cfRule type="cellIs" dxfId="49" priority="12" operator="lessThan">
      <formula>19</formula>
    </cfRule>
  </conditionalFormatting>
  <conditionalFormatting sqref="L93:L100">
    <cfRule type="cellIs" dxfId="48" priority="1" operator="greaterThan">
      <formula>0</formula>
    </cfRule>
    <cfRule type="cellIs" dxfId="47" priority="2" operator="lessThanOrEqual">
      <formula>0</formula>
    </cfRule>
  </conditionalFormatting>
  <conditionalFormatting sqref="N93:N100">
    <cfRule type="cellIs" dxfId="46" priority="3" operator="greaterThan">
      <formula>30.01</formula>
    </cfRule>
    <cfRule type="cellIs" dxfId="45" priority="4" operator="between">
      <formula>25.01</formula>
      <formula>30</formula>
    </cfRule>
    <cfRule type="cellIs" dxfId="44" priority="5" operator="between">
      <formula>19</formula>
      <formula>25</formula>
    </cfRule>
    <cfRule type="cellIs" dxfId="43" priority="6" operator="lessThan">
      <formula>19</formula>
    </cfRule>
  </conditionalFormatting>
  <pageMargins left="0.7" right="0.7" top="0.75" bottom="0.75" header="0.3" footer="0.3"/>
  <pageSetup paperSize="9" orientation="portrait" horizontalDpi="0" verticalDpi="0" r:id="rId1"/>
  <ignoredErrors>
    <ignoredError sqref="M3:M6 M7:M14" calculatedColumn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120" zoomScaleNormal="120" workbookViewId="0"/>
  </sheetViews>
  <sheetFormatPr defaultRowHeight="15" x14ac:dyDescent="0.25"/>
  <cols>
    <col min="1" max="1" width="16.85546875" style="31" customWidth="1"/>
    <col min="2" max="9" width="11" style="31" customWidth="1"/>
    <col min="10" max="16384" width="9.140625" style="31"/>
  </cols>
  <sheetData>
    <row r="1" spans="1:9" ht="30.75" customHeight="1" x14ac:dyDescent="0.25">
      <c r="A1" s="22" t="s">
        <v>0</v>
      </c>
      <c r="B1" s="3" t="str">
        <f>IF(Dashboard!$D$35="","",Dashboard!$D$35)</f>
        <v>Neck</v>
      </c>
      <c r="C1" s="3" t="str">
        <f>IF(Dashboard!$D$36="","",Dashboard!$D$36)</f>
        <v>Chest</v>
      </c>
      <c r="D1" s="3" t="str">
        <f>IF(Dashboard!$D$37="","",Dashboard!$D$37)</f>
        <v>Bicept</v>
      </c>
      <c r="E1" s="3" t="str">
        <f>IF(Dashboard!$D$38="","",Dashboard!$D$38)</f>
        <v>Wrist</v>
      </c>
      <c r="F1" s="3" t="str">
        <f>IF(Dashboard!$D$39="","",Dashboard!$D$39)</f>
        <v>Hips</v>
      </c>
      <c r="G1" s="3" t="str">
        <f>IF(Dashboard!$D$40="","",Dashboard!$D$40)</f>
        <v>Thigh</v>
      </c>
      <c r="H1" s="3" t="str">
        <f>IF(Dashboard!$D$41="","",Dashboard!$D$41)</f>
        <v>Calf</v>
      </c>
      <c r="I1" s="3" t="str">
        <f>IF(Dashboard!$D$42="","",Dashboard!$D$42)</f>
        <v>Waist</v>
      </c>
    </row>
    <row r="2" spans="1:9" ht="13.5" hidden="1" customHeight="1" x14ac:dyDescent="0.25">
      <c r="A2" s="27" t="s">
        <v>75</v>
      </c>
      <c r="B2" s="3" t="s">
        <v>67</v>
      </c>
      <c r="C2" s="3" t="s">
        <v>68</v>
      </c>
      <c r="D2" s="3" t="s">
        <v>73</v>
      </c>
      <c r="E2" s="3" t="s">
        <v>74</v>
      </c>
      <c r="F2" s="3" t="s">
        <v>70</v>
      </c>
      <c r="G2" s="3" t="s">
        <v>71</v>
      </c>
      <c r="H2" s="3" t="s">
        <v>72</v>
      </c>
      <c r="I2" s="3" t="s">
        <v>69</v>
      </c>
    </row>
    <row r="3" spans="1:9" x14ac:dyDescent="0.25">
      <c r="A3" s="28" t="str">
        <f>IF(Dashboard!E5="","",Dashboard!E5)</f>
        <v/>
      </c>
      <c r="B3" s="30" t="str">
        <f>IF(Dashboard!$E$35="","",Dashboard!$E$35)</f>
        <v/>
      </c>
      <c r="C3" s="30" t="str">
        <f>IF(Dashboard!$E$36="","",Dashboard!$E$36)</f>
        <v/>
      </c>
      <c r="D3" s="30" t="str">
        <f>IF(Dashboard!$E$37="","",Dashboard!$E$37)</f>
        <v/>
      </c>
      <c r="E3" s="30" t="str">
        <f>IF(Dashboard!$E$38="","",Dashboard!$E$38)</f>
        <v/>
      </c>
      <c r="F3" s="30" t="str">
        <f>IF(Dashboard!$E$39="","",Dashboard!$E$39)</f>
        <v/>
      </c>
      <c r="G3" s="30" t="str">
        <f>IF(Dashboard!$E$40="","",Dashboard!$E$40)</f>
        <v/>
      </c>
      <c r="H3" s="30" t="str">
        <f>IF(Dashboard!$E$41="","",Dashboard!$E$41)</f>
        <v/>
      </c>
      <c r="I3" s="34" t="str">
        <f>IF(Dashboard!$E$42="","",Dashboard!$E$42)</f>
        <v/>
      </c>
    </row>
    <row r="4" spans="1:9" x14ac:dyDescent="0.25">
      <c r="A4" s="29" t="str">
        <f>IF(A3="","",IF(Dashboard!E43="","",A3+(Dashboard!$E$43*7)))</f>
        <v/>
      </c>
      <c r="B4" s="32"/>
      <c r="C4" s="32"/>
      <c r="D4" s="32"/>
      <c r="E4" s="32"/>
      <c r="F4" s="32"/>
      <c r="G4" s="32"/>
      <c r="H4" s="32"/>
      <c r="I4" s="35"/>
    </row>
    <row r="5" spans="1:9" x14ac:dyDescent="0.25">
      <c r="A5" s="29" t="str">
        <f>IF(A4="","",A4+(Dashboard!$E$43*7))</f>
        <v/>
      </c>
      <c r="B5" s="33"/>
      <c r="C5" s="33"/>
      <c r="D5" s="33"/>
      <c r="E5" s="33"/>
      <c r="F5" s="33"/>
      <c r="G5" s="33"/>
      <c r="H5" s="33"/>
      <c r="I5" s="36"/>
    </row>
    <row r="6" spans="1:9" x14ac:dyDescent="0.25">
      <c r="A6" s="29" t="str">
        <f>IF(A5="","",A5+(Dashboard!$E$43*7))</f>
        <v/>
      </c>
      <c r="B6" s="33"/>
      <c r="C6" s="33"/>
      <c r="D6" s="33"/>
      <c r="E6" s="33"/>
      <c r="F6" s="33"/>
      <c r="G6" s="33"/>
      <c r="H6" s="33"/>
      <c r="I6" s="36"/>
    </row>
    <row r="7" spans="1:9" x14ac:dyDescent="0.25">
      <c r="A7" s="29" t="str">
        <f>IF(A6="","",A6+(Dashboard!$E$43*7))</f>
        <v/>
      </c>
      <c r="B7" s="33"/>
      <c r="C7" s="33"/>
      <c r="D7" s="33"/>
      <c r="E7" s="33"/>
      <c r="F7" s="33"/>
      <c r="G7" s="33"/>
      <c r="H7" s="33"/>
      <c r="I7" s="36"/>
    </row>
    <row r="8" spans="1:9" x14ac:dyDescent="0.25">
      <c r="A8" s="29" t="str">
        <f>IF(A7="","",A7+(Dashboard!$E$43*7))</f>
        <v/>
      </c>
      <c r="B8" s="33"/>
      <c r="C8" s="33"/>
      <c r="D8" s="33"/>
      <c r="E8" s="33"/>
      <c r="F8" s="33"/>
      <c r="G8" s="33"/>
      <c r="H8" s="33"/>
      <c r="I8" s="36"/>
    </row>
    <row r="9" spans="1:9" x14ac:dyDescent="0.25">
      <c r="A9" s="29" t="str">
        <f>IF(A8="","",A8+(Dashboard!$E$43*7))</f>
        <v/>
      </c>
      <c r="B9" s="33"/>
      <c r="C9" s="33"/>
      <c r="D9" s="33"/>
      <c r="E9" s="33"/>
      <c r="F9" s="33"/>
      <c r="G9" s="33"/>
      <c r="H9" s="33"/>
      <c r="I9" s="36"/>
    </row>
    <row r="10" spans="1:9" x14ac:dyDescent="0.25">
      <c r="A10" s="29" t="str">
        <f>IF(A9="","",A9+(Dashboard!$E$43*7))</f>
        <v/>
      </c>
      <c r="B10" s="33"/>
      <c r="C10" s="33"/>
      <c r="D10" s="33"/>
      <c r="E10" s="33"/>
      <c r="F10" s="33"/>
      <c r="G10" s="33"/>
      <c r="H10" s="33"/>
      <c r="I10" s="36"/>
    </row>
    <row r="11" spans="1:9" x14ac:dyDescent="0.25">
      <c r="A11" s="29" t="str">
        <f>IF(A10="","",A10+(Dashboard!$E$43*7))</f>
        <v/>
      </c>
      <c r="B11" s="33"/>
      <c r="C11" s="33"/>
      <c r="D11" s="33"/>
      <c r="E11" s="33"/>
      <c r="F11" s="33"/>
      <c r="G11" s="33"/>
      <c r="H11" s="33"/>
      <c r="I11" s="36"/>
    </row>
  </sheetData>
  <sheetProtection insertColumns="0" insertRows="0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K19"/>
  <sheetViews>
    <sheetView workbookViewId="0">
      <selection activeCell="G30" sqref="G30"/>
    </sheetView>
  </sheetViews>
  <sheetFormatPr defaultRowHeight="15" x14ac:dyDescent="0.25"/>
  <cols>
    <col min="2" max="2" width="8.42578125" bestFit="1" customWidth="1"/>
    <col min="3" max="3" width="17.5703125" bestFit="1" customWidth="1"/>
    <col min="4" max="4" width="12.7109375" bestFit="1" customWidth="1"/>
    <col min="5" max="5" width="12.140625" bestFit="1" customWidth="1"/>
    <col min="7" max="8" width="9.140625" customWidth="1"/>
  </cols>
  <sheetData>
    <row r="1" spans="2:11" x14ac:dyDescent="0.25">
      <c r="G1" s="1"/>
      <c r="H1" s="1"/>
      <c r="I1" s="1"/>
      <c r="J1" s="1"/>
      <c r="K1" s="1"/>
    </row>
    <row r="2" spans="2:11" ht="15.75" x14ac:dyDescent="0.25">
      <c r="B2" s="213" t="s">
        <v>23</v>
      </c>
      <c r="C2" s="213"/>
      <c r="D2" s="213"/>
      <c r="E2" s="213"/>
      <c r="G2" s="24"/>
      <c r="H2" s="24"/>
      <c r="I2" s="24"/>
      <c r="J2" s="24"/>
      <c r="K2" s="24"/>
    </row>
    <row r="3" spans="2:11" ht="15.75" x14ac:dyDescent="0.25">
      <c r="B3" s="8"/>
      <c r="C3" s="8"/>
      <c r="D3" s="8"/>
      <c r="E3" s="8"/>
      <c r="G3" s="21"/>
      <c r="H3" s="21"/>
      <c r="I3" s="26"/>
      <c r="J3" s="26"/>
      <c r="K3" s="1"/>
    </row>
    <row r="4" spans="2:11" x14ac:dyDescent="0.25">
      <c r="B4" s="9" t="s">
        <v>1</v>
      </c>
      <c r="C4" s="9" t="s">
        <v>28</v>
      </c>
      <c r="D4" s="9" t="s">
        <v>26</v>
      </c>
      <c r="E4" s="9" t="s">
        <v>27</v>
      </c>
      <c r="G4" s="25"/>
      <c r="H4" s="25"/>
      <c r="I4" s="26"/>
      <c r="J4" s="26"/>
      <c r="K4" s="1"/>
    </row>
    <row r="5" spans="2:11" x14ac:dyDescent="0.25">
      <c r="B5" s="14" t="str">
        <f>IF(Dashboard!$E$6="","",IF(D5="","",(D5*703)/(Dashboard!$E$6*Dashboard!$E$6)))</f>
        <v/>
      </c>
      <c r="C5" s="19" t="str">
        <f>IF(B5="","",VLOOKUP(B5,$B$11:$C$14,2))</f>
        <v/>
      </c>
      <c r="D5" s="7" t="str">
        <f>Dashboard!E7</f>
        <v/>
      </c>
      <c r="E5" s="6" t="str">
        <f>IF(D5="","",CONCATENATE(ROUNDDOWN(D5/14,0), "st ", MOD(D5,14), "lbs"))</f>
        <v/>
      </c>
      <c r="G5" s="1"/>
      <c r="H5" s="2"/>
      <c r="I5" s="1"/>
      <c r="J5" s="1"/>
      <c r="K5" s="1"/>
    </row>
    <row r="6" spans="2:11" x14ac:dyDescent="0.25">
      <c r="B6" s="14" t="str">
        <f>IF(Dashboard!$E$6="","",IF(D6="","",(D6*703)/(Dashboard!$E$6*Dashboard!$E$6)))</f>
        <v/>
      </c>
      <c r="C6" s="19" t="str">
        <f>IF(B6="","",VLOOKUP(B6,$B$11:$C$14,2))</f>
        <v/>
      </c>
      <c r="D6" s="7" t="str">
        <f>Dashboard!E14</f>
        <v/>
      </c>
      <c r="E6" s="6" t="str">
        <f>IF(D6="","",CONCATENATE(ROUNDDOWN(D6/14,0), "st ", MOD(D6,14), "lbs"))</f>
        <v/>
      </c>
      <c r="G6" s="23"/>
      <c r="H6" s="2"/>
      <c r="I6" s="1"/>
      <c r="J6" s="1"/>
      <c r="K6" s="1"/>
    </row>
    <row r="7" spans="2:11" x14ac:dyDescent="0.25">
      <c r="B7" s="15"/>
      <c r="C7" s="3"/>
      <c r="D7" s="10"/>
      <c r="E7" s="2"/>
      <c r="G7" s="23"/>
      <c r="H7" s="2"/>
      <c r="I7" s="1"/>
      <c r="J7" s="1"/>
      <c r="K7" s="1"/>
    </row>
    <row r="8" spans="2:11" x14ac:dyDescent="0.25">
      <c r="B8" s="16">
        <v>19</v>
      </c>
      <c r="C8" s="20" t="s">
        <v>24</v>
      </c>
      <c r="D8" s="7" t="str">
        <f>IF(Dashboard!$E$6="","",ROUNDDOWN((((Dashboard!$E$6*Dashboard!$E$6)/703)*B8)+7,0))</f>
        <v/>
      </c>
      <c r="E8" s="12" t="str">
        <f>IF(D8="","",CONCATENATE(ROUNDDOWN(D8/14,0), "st ",  MOD(D8,14), "lbs"))</f>
        <v/>
      </c>
      <c r="G8" s="23"/>
      <c r="H8" s="2"/>
      <c r="I8" s="1"/>
      <c r="J8" s="1"/>
      <c r="K8" s="1"/>
    </row>
    <row r="9" spans="2:11" x14ac:dyDescent="0.25">
      <c r="B9" s="16">
        <v>25</v>
      </c>
      <c r="C9" s="20" t="s">
        <v>25</v>
      </c>
      <c r="D9" s="7" t="str">
        <f>IF(Dashboard!$E$6="","",ROUNDDOWN((((Dashboard!$E$6*Dashboard!$E$6)/703)*B9),0))</f>
        <v/>
      </c>
      <c r="E9" s="12" t="str">
        <f>IF(D9="","",CONCATENATE(ROUNDDOWN(D9/14,0), "st ",  MOD(D9,14), "lbs"))</f>
        <v/>
      </c>
      <c r="G9" s="23"/>
      <c r="H9" s="2"/>
      <c r="I9" s="1"/>
      <c r="J9" s="1"/>
      <c r="K9" s="1"/>
    </row>
    <row r="10" spans="2:11" x14ac:dyDescent="0.25">
      <c r="B10" s="17"/>
      <c r="C10" s="21"/>
      <c r="D10" s="11"/>
      <c r="E10" s="13" t="str">
        <f t="shared" ref="E10:E14" si="0">IF(D10="","",CONCATENATE(ROUNDDOWN(D10/14,0), " st ",  MOD(D10,14), " lbs"))</f>
        <v/>
      </c>
      <c r="G10" s="23"/>
      <c r="H10" s="2"/>
      <c r="I10" s="1"/>
      <c r="J10" s="1"/>
      <c r="K10" s="1"/>
    </row>
    <row r="11" spans="2:11" x14ac:dyDescent="0.25">
      <c r="B11" s="18">
        <v>18.989999999999998</v>
      </c>
      <c r="C11" s="20" t="s">
        <v>2</v>
      </c>
      <c r="D11" s="7" t="str">
        <f>IF(D8="","",D8-1)</f>
        <v/>
      </c>
      <c r="E11" s="12" t="str">
        <f>IF(D11="","",CONCATENATE(ROUNDDOWN(D11/14,0), " st ",  MOD(D11,14), " lbs"))</f>
        <v/>
      </c>
      <c r="G11" s="23"/>
      <c r="H11" s="2"/>
      <c r="I11" s="1"/>
      <c r="J11" s="1"/>
      <c r="K11" s="1"/>
    </row>
    <row r="12" spans="2:11" x14ac:dyDescent="0.25">
      <c r="B12" s="18">
        <v>19.010000000000002</v>
      </c>
      <c r="C12" s="20" t="s">
        <v>3</v>
      </c>
      <c r="D12" s="7" t="str">
        <f>IF(D8="","",D8+1)</f>
        <v/>
      </c>
      <c r="E12" s="12" t="str">
        <f t="shared" si="0"/>
        <v/>
      </c>
      <c r="G12" s="23"/>
      <c r="H12" s="2"/>
      <c r="I12" s="1"/>
      <c r="J12" s="1"/>
      <c r="K12" s="1"/>
    </row>
    <row r="13" spans="2:11" x14ac:dyDescent="0.25">
      <c r="B13" s="18">
        <v>25.01</v>
      </c>
      <c r="C13" s="20" t="s">
        <v>4</v>
      </c>
      <c r="D13" s="7" t="str">
        <f>IF(D9="","",D9+1)</f>
        <v/>
      </c>
      <c r="E13" s="12" t="str">
        <f t="shared" si="0"/>
        <v/>
      </c>
      <c r="G13" s="23"/>
      <c r="H13" s="2"/>
      <c r="I13" s="1"/>
      <c r="J13" s="1"/>
      <c r="K13" s="1"/>
    </row>
    <row r="14" spans="2:11" x14ac:dyDescent="0.25">
      <c r="B14" s="18">
        <v>30.01</v>
      </c>
      <c r="C14" s="20" t="s">
        <v>5</v>
      </c>
      <c r="D14" s="7" t="str">
        <f>IF(Dashboard!$E$6="","",ROUNDDOWN((((Dashboard!$E$6*Dashboard!$E$6)/703)*B14),0))</f>
        <v/>
      </c>
      <c r="E14" s="12" t="str">
        <f t="shared" si="0"/>
        <v/>
      </c>
      <c r="G14" s="23"/>
      <c r="H14" s="2"/>
      <c r="I14" s="1"/>
      <c r="J14" s="1"/>
      <c r="K14" s="1"/>
    </row>
    <row r="15" spans="2:11" ht="15.75" thickBot="1" x14ac:dyDescent="0.3">
      <c r="B15" s="5"/>
      <c r="C15" s="5"/>
      <c r="D15" s="5"/>
      <c r="E15" s="4"/>
      <c r="G15" s="23"/>
      <c r="H15" s="2"/>
      <c r="I15" s="1"/>
      <c r="J15" s="1"/>
      <c r="K15" s="1"/>
    </row>
    <row r="16" spans="2:11" x14ac:dyDescent="0.25">
      <c r="G16" s="23"/>
      <c r="H16" s="2"/>
    </row>
    <row r="17" spans="7:8" x14ac:dyDescent="0.25">
      <c r="G17" s="1"/>
      <c r="H17" s="1"/>
    </row>
    <row r="18" spans="7:8" x14ac:dyDescent="0.25">
      <c r="G18" s="1"/>
      <c r="H18" s="1"/>
    </row>
    <row r="19" spans="7:8" x14ac:dyDescent="0.25">
      <c r="G19" s="1"/>
      <c r="H19" s="1"/>
    </row>
  </sheetData>
  <mergeCells count="1">
    <mergeCell ref="B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Dashboard</vt:lpstr>
      <vt:lpstr>Weight Record</vt:lpstr>
      <vt:lpstr>Measurements Record</vt:lpstr>
      <vt:lpstr>BMI Info</vt:lpstr>
      <vt:lpstr>MonthlyAverage</vt:lpstr>
      <vt:lpstr>WeeklyAverage</vt:lpstr>
    </vt:vector>
  </TitlesOfParts>
  <Company>Contextures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Advanced Weight Loss Record</dc:title>
  <dc:creator>Natt Steer</dc:creator>
  <cp:lastModifiedBy>Carl Taylor </cp:lastModifiedBy>
  <cp:lastPrinted>2011-04-15T03:51:32Z</cp:lastPrinted>
  <dcterms:created xsi:type="dcterms:W3CDTF">2010-01-03T19:27:36Z</dcterms:created>
  <dcterms:modified xsi:type="dcterms:W3CDTF">2015-02-09T15:32:18Z</dcterms:modified>
</cp:coreProperties>
</file>